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\Desktop\Experimental Data\"/>
    </mc:Choice>
  </mc:AlternateContent>
  <bookViews>
    <workbookView xWindow="0" yWindow="0" windowWidth="20730" windowHeight="11760" firstSheet="3" activeTab="6"/>
  </bookViews>
  <sheets>
    <sheet name="Yoon Linear_Fe" sheetId="1" r:id="rId1"/>
    <sheet name="Yoon Linear_Mn" sheetId="2" r:id="rId2"/>
    <sheet name="Thomas Linear_Fe" sheetId="3" r:id="rId3"/>
    <sheet name="Thomas Linear_Mn" sheetId="4" r:id="rId4"/>
    <sheet name="Adam &amp; bohaart linear_Fe" sheetId="5" r:id="rId5"/>
    <sheet name="Adam Bohaart linear_Mn" sheetId="6" r:id="rId6"/>
    <sheet name="Yoon Nonlinear_Fe" sheetId="7" r:id="rId7"/>
    <sheet name="Yoon nonlinear_Mn" sheetId="8" r:id="rId8"/>
  </sheets>
  <externalReferences>
    <externalReference r:id="rId9"/>
  </externalReferences>
  <definedNames>
    <definedName name="solver_adj" localSheetId="6" hidden="1">'Yoon Nonlinear_Fe'!$G$117:$G$118</definedName>
    <definedName name="solver_cvg" localSheetId="6" hidden="1">0.0001</definedName>
    <definedName name="solver_drv" localSheetId="6" hidden="1">1</definedName>
    <definedName name="solver_est" localSheetId="6" hidden="1">1</definedName>
    <definedName name="solver_itr" localSheetId="6" hidden="1">100</definedName>
    <definedName name="solver_lin" localSheetId="6" hidden="1">2</definedName>
    <definedName name="solver_neg" localSheetId="6" hidden="1">2</definedName>
    <definedName name="solver_num" localSheetId="6" hidden="1">0</definedName>
    <definedName name="solver_nwt" localSheetId="6" hidden="1">1</definedName>
    <definedName name="solver_opt" localSheetId="6" hidden="1">'Yoon Nonlinear_Fe'!$K$113</definedName>
    <definedName name="solver_pre" localSheetId="6" hidden="1">0.000001</definedName>
    <definedName name="solver_scl" localSheetId="6" hidden="1">2</definedName>
    <definedName name="solver_sho" localSheetId="6" hidden="1">2</definedName>
    <definedName name="solver_tim" localSheetId="6" hidden="1">100</definedName>
    <definedName name="solver_tol" localSheetId="6" hidden="1">0.05</definedName>
    <definedName name="solver_typ" localSheetId="6" hidden="1">1</definedName>
    <definedName name="solver_val" localSheetId="6" hidden="1">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7" l="1"/>
  <c r="H88" i="7"/>
  <c r="H134" i="8" l="1"/>
  <c r="C134" i="8"/>
  <c r="H133" i="8"/>
  <c r="C133" i="8"/>
  <c r="H132" i="8"/>
  <c r="C132" i="8"/>
  <c r="H131" i="8"/>
  <c r="C131" i="8"/>
  <c r="H130" i="8"/>
  <c r="C130" i="8"/>
  <c r="H129" i="8"/>
  <c r="C129" i="8"/>
  <c r="AJ112" i="8"/>
  <c r="AJ106" i="8"/>
  <c r="V106" i="8"/>
  <c r="I106" i="8"/>
  <c r="AJ105" i="8"/>
  <c r="V105" i="8"/>
  <c r="I105" i="8"/>
  <c r="AJ104" i="8"/>
  <c r="V104" i="8"/>
  <c r="I104" i="8"/>
  <c r="AJ103" i="8"/>
  <c r="V103" i="8"/>
  <c r="I103" i="8"/>
  <c r="AJ102" i="8"/>
  <c r="V102" i="8"/>
  <c r="I102" i="8"/>
  <c r="AJ101" i="8"/>
  <c r="V101" i="8"/>
  <c r="V112" i="8" s="1"/>
  <c r="I101" i="8"/>
  <c r="G93" i="8"/>
  <c r="B93" i="8"/>
  <c r="G92" i="8"/>
  <c r="B92" i="8"/>
  <c r="G91" i="8"/>
  <c r="B91" i="8"/>
  <c r="G90" i="8"/>
  <c r="B90" i="8"/>
  <c r="G89" i="8"/>
  <c r="B89" i="8"/>
  <c r="G88" i="8"/>
  <c r="B88" i="8"/>
  <c r="AJ66" i="8"/>
  <c r="V66" i="8"/>
  <c r="I66" i="8"/>
  <c r="AJ65" i="8"/>
  <c r="V65" i="8"/>
  <c r="I65" i="8"/>
  <c r="AJ64" i="8"/>
  <c r="V64" i="8"/>
  <c r="I64" i="8"/>
  <c r="AJ63" i="8"/>
  <c r="V63" i="8"/>
  <c r="V72" i="8" s="1"/>
  <c r="I63" i="8"/>
  <c r="AJ62" i="8"/>
  <c r="V62" i="8"/>
  <c r="I62" i="8"/>
  <c r="AJ61" i="8"/>
  <c r="AJ72" i="8" s="1"/>
  <c r="V61" i="8"/>
  <c r="I61" i="8"/>
  <c r="I72" i="8" s="1"/>
  <c r="G51" i="8"/>
  <c r="B51" i="8"/>
  <c r="G50" i="8"/>
  <c r="B50" i="8"/>
  <c r="G49" i="8"/>
  <c r="B49" i="8"/>
  <c r="G48" i="8"/>
  <c r="B48" i="8"/>
  <c r="G47" i="8"/>
  <c r="B47" i="8"/>
  <c r="G46" i="8"/>
  <c r="B46" i="8"/>
  <c r="AI25" i="8"/>
  <c r="V25" i="8"/>
  <c r="I25" i="8"/>
  <c r="AI24" i="8"/>
  <c r="V24" i="8"/>
  <c r="I24" i="8"/>
  <c r="AI23" i="8"/>
  <c r="AI31" i="8" s="1"/>
  <c r="V23" i="8"/>
  <c r="I23" i="8"/>
  <c r="AI22" i="8"/>
  <c r="V22" i="8"/>
  <c r="V31" i="8" s="1"/>
  <c r="I22" i="8"/>
  <c r="AI21" i="8"/>
  <c r="V21" i="8"/>
  <c r="I21" i="8"/>
  <c r="AI20" i="8"/>
  <c r="V20" i="8"/>
  <c r="I20" i="8"/>
  <c r="I31" i="8" s="1"/>
  <c r="G47" i="7"/>
  <c r="G48" i="7"/>
  <c r="G49" i="7"/>
  <c r="G50" i="7"/>
  <c r="G51" i="7"/>
  <c r="G46" i="7"/>
  <c r="B47" i="7"/>
  <c r="B48" i="7"/>
  <c r="B49" i="7"/>
  <c r="B50" i="7"/>
  <c r="B51" i="7"/>
  <c r="B46" i="7"/>
  <c r="H130" i="7"/>
  <c r="H131" i="7"/>
  <c r="H132" i="7"/>
  <c r="H133" i="7"/>
  <c r="H134" i="7"/>
  <c r="H129" i="7"/>
  <c r="C129" i="7"/>
  <c r="C130" i="7"/>
  <c r="C131" i="7"/>
  <c r="C132" i="7"/>
  <c r="C133" i="7"/>
  <c r="C134" i="7"/>
  <c r="G89" i="7"/>
  <c r="G90" i="7"/>
  <c r="G91" i="7"/>
  <c r="G92" i="7"/>
  <c r="G93" i="7"/>
  <c r="G88" i="7"/>
  <c r="B89" i="7"/>
  <c r="B90" i="7"/>
  <c r="B91" i="7"/>
  <c r="B92" i="7"/>
  <c r="B93" i="7"/>
  <c r="B88" i="7"/>
  <c r="I106" i="7"/>
  <c r="I105" i="7"/>
  <c r="AJ106" i="7"/>
  <c r="AJ105" i="7"/>
  <c r="AJ104" i="7"/>
  <c r="AJ103" i="7"/>
  <c r="AJ102" i="7"/>
  <c r="AJ101" i="7"/>
  <c r="AJ66" i="7"/>
  <c r="AJ65" i="7"/>
  <c r="AJ64" i="7"/>
  <c r="AJ63" i="7"/>
  <c r="AJ62" i="7"/>
  <c r="AJ61" i="7"/>
  <c r="V66" i="7"/>
  <c r="V65" i="7"/>
  <c r="V64" i="7"/>
  <c r="V63" i="7"/>
  <c r="V62" i="7"/>
  <c r="V61" i="7"/>
  <c r="V72" i="7" s="1"/>
  <c r="V106" i="7"/>
  <c r="V105" i="7"/>
  <c r="V104" i="7"/>
  <c r="V103" i="7"/>
  <c r="V102" i="7"/>
  <c r="V101" i="7"/>
  <c r="I104" i="7"/>
  <c r="I103" i="7"/>
  <c r="I102" i="7"/>
  <c r="I101" i="7"/>
  <c r="I66" i="7"/>
  <c r="I65" i="7"/>
  <c r="I64" i="7"/>
  <c r="I63" i="7"/>
  <c r="I62" i="7"/>
  <c r="I61" i="7"/>
  <c r="AI21" i="7"/>
  <c r="AI22" i="7"/>
  <c r="AI23" i="7"/>
  <c r="AI24" i="7"/>
  <c r="AI25" i="7"/>
  <c r="AI20" i="7"/>
  <c r="V21" i="7"/>
  <c r="V22" i="7"/>
  <c r="V23" i="7"/>
  <c r="V24" i="7"/>
  <c r="V25" i="7"/>
  <c r="V20" i="7"/>
  <c r="I20" i="7"/>
  <c r="I21" i="7"/>
  <c r="I22" i="7"/>
  <c r="I23" i="7"/>
  <c r="I24" i="7"/>
  <c r="I25" i="7"/>
  <c r="A1" i="7"/>
  <c r="Q83" i="6"/>
  <c r="R83" i="6" s="1"/>
  <c r="S83" i="6" s="1"/>
  <c r="J83" i="6"/>
  <c r="K83" i="6" s="1"/>
  <c r="L83" i="6" s="1"/>
  <c r="C83" i="6"/>
  <c r="D83" i="6" s="1"/>
  <c r="B83" i="6"/>
  <c r="Q46" i="6"/>
  <c r="R46" i="6" s="1"/>
  <c r="S46" i="6" s="1"/>
  <c r="J45" i="6"/>
  <c r="K45" i="6" s="1"/>
  <c r="L45" i="6" s="1"/>
  <c r="B45" i="6"/>
  <c r="C45" i="6" s="1"/>
  <c r="D45" i="6" s="1"/>
  <c r="Q13" i="6"/>
  <c r="R13" i="6" s="1"/>
  <c r="S13" i="6" s="1"/>
  <c r="J13" i="6"/>
  <c r="K13" i="6" s="1"/>
  <c r="L13" i="6" s="1"/>
  <c r="B13" i="6"/>
  <c r="C13" i="6" s="1"/>
  <c r="D13" i="6" s="1"/>
  <c r="Q83" i="5"/>
  <c r="R83" i="5" s="1"/>
  <c r="S83" i="5" s="1"/>
  <c r="J83" i="5"/>
  <c r="K83" i="5" s="1"/>
  <c r="L83" i="5" s="1"/>
  <c r="B83" i="5"/>
  <c r="C83" i="5" s="1"/>
  <c r="D83" i="5" s="1"/>
  <c r="B45" i="5"/>
  <c r="C45" i="5" s="1"/>
  <c r="D45" i="5" s="1"/>
  <c r="J45" i="5"/>
  <c r="K45" i="5" s="1"/>
  <c r="L45" i="5" s="1"/>
  <c r="Q46" i="5"/>
  <c r="R46" i="5" s="1"/>
  <c r="S46" i="5" s="1"/>
  <c r="Q13" i="5"/>
  <c r="R13" i="5" s="1"/>
  <c r="S13" i="5" s="1"/>
  <c r="J13" i="5"/>
  <c r="K13" i="5" s="1"/>
  <c r="L13" i="5" s="1"/>
  <c r="C13" i="5"/>
  <c r="D13" i="5" s="1"/>
  <c r="B13" i="5"/>
  <c r="A1" i="5"/>
  <c r="A1" i="4"/>
  <c r="Q83" i="3"/>
  <c r="U83" i="3" s="1"/>
  <c r="U82" i="3"/>
  <c r="U81" i="3"/>
  <c r="U80" i="3"/>
  <c r="U79" i="3"/>
  <c r="U78" i="3"/>
  <c r="I83" i="3"/>
  <c r="M83" i="3" s="1"/>
  <c r="M82" i="3"/>
  <c r="M81" i="3"/>
  <c r="M80" i="3"/>
  <c r="M79" i="3"/>
  <c r="M78" i="3"/>
  <c r="A83" i="3"/>
  <c r="E83" i="3" s="1"/>
  <c r="E82" i="3"/>
  <c r="E81" i="3"/>
  <c r="E80" i="3"/>
  <c r="E79" i="3"/>
  <c r="E78" i="3"/>
  <c r="Q54" i="3"/>
  <c r="U54" i="3" s="1"/>
  <c r="U53" i="3"/>
  <c r="U52" i="3"/>
  <c r="U51" i="3"/>
  <c r="U50" i="3"/>
  <c r="U49" i="3"/>
  <c r="I54" i="3"/>
  <c r="M54" i="3" s="1"/>
  <c r="M53" i="3"/>
  <c r="M52" i="3"/>
  <c r="M51" i="3"/>
  <c r="M50" i="3"/>
  <c r="M49" i="3"/>
  <c r="A54" i="3"/>
  <c r="E54" i="3" s="1"/>
  <c r="E53" i="3"/>
  <c r="E52" i="3"/>
  <c r="E51" i="3"/>
  <c r="E50" i="3"/>
  <c r="E49" i="3"/>
  <c r="Q26" i="3"/>
  <c r="U26" i="3" s="1"/>
  <c r="U25" i="3"/>
  <c r="U24" i="3"/>
  <c r="U23" i="3"/>
  <c r="U22" i="3"/>
  <c r="U21" i="3"/>
  <c r="M25" i="3"/>
  <c r="M24" i="3"/>
  <c r="M23" i="3"/>
  <c r="M22" i="3"/>
  <c r="M21" i="3"/>
  <c r="E25" i="3"/>
  <c r="E24" i="3"/>
  <c r="E23" i="3"/>
  <c r="E22" i="3"/>
  <c r="E21" i="3"/>
  <c r="R89" i="1"/>
  <c r="A89" i="1"/>
  <c r="A59" i="1"/>
  <c r="R25" i="1"/>
  <c r="I112" i="8" l="1"/>
  <c r="AI31" i="7"/>
  <c r="V112" i="7"/>
  <c r="I112" i="7"/>
  <c r="I72" i="7"/>
  <c r="AJ72" i="7"/>
  <c r="AJ112" i="7"/>
  <c r="V31" i="7"/>
  <c r="I31" i="7"/>
  <c r="J10" i="7"/>
  <c r="AD106" i="7" s="1"/>
  <c r="I10" i="7"/>
  <c r="P106" i="7" s="1"/>
  <c r="H10" i="7"/>
  <c r="C106" i="7" s="1"/>
  <c r="G10" i="7"/>
  <c r="AD66" i="7" s="1"/>
  <c r="AI66" i="7" s="1"/>
  <c r="E93" i="7" s="1"/>
  <c r="F10" i="7"/>
  <c r="P66" i="7" s="1"/>
  <c r="E10" i="7"/>
  <c r="C66" i="7" s="1"/>
  <c r="H66" i="7" s="1"/>
  <c r="C93" i="7" s="1"/>
  <c r="D10" i="7"/>
  <c r="AC25" i="7" s="1"/>
  <c r="C10" i="7"/>
  <c r="P25" i="7" s="1"/>
  <c r="B10" i="7"/>
  <c r="C25" i="7" s="1"/>
  <c r="A10" i="7"/>
  <c r="J9" i="7"/>
  <c r="AD105" i="7" s="1"/>
  <c r="I9" i="7"/>
  <c r="P105" i="7" s="1"/>
  <c r="H9" i="7"/>
  <c r="C105" i="7" s="1"/>
  <c r="G9" i="7"/>
  <c r="AD65" i="7" s="1"/>
  <c r="AI65" i="7" s="1"/>
  <c r="E92" i="7" s="1"/>
  <c r="F9" i="7"/>
  <c r="P65" i="7" s="1"/>
  <c r="E9" i="7"/>
  <c r="C65" i="7" s="1"/>
  <c r="H65" i="7" s="1"/>
  <c r="C92" i="7" s="1"/>
  <c r="D9" i="7"/>
  <c r="AC24" i="7" s="1"/>
  <c r="C9" i="7"/>
  <c r="P24" i="7" s="1"/>
  <c r="B9" i="7"/>
  <c r="C24" i="7" s="1"/>
  <c r="A9" i="7"/>
  <c r="J8" i="7"/>
  <c r="AD104" i="7" s="1"/>
  <c r="I8" i="7"/>
  <c r="P104" i="7" s="1"/>
  <c r="H8" i="7"/>
  <c r="C104" i="7" s="1"/>
  <c r="G8" i="7"/>
  <c r="AD64" i="7" s="1"/>
  <c r="AI64" i="7" s="1"/>
  <c r="E91" i="7" s="1"/>
  <c r="F8" i="7"/>
  <c r="P64" i="7" s="1"/>
  <c r="E8" i="7"/>
  <c r="C64" i="7" s="1"/>
  <c r="D8" i="7"/>
  <c r="AC23" i="7" s="1"/>
  <c r="C8" i="7"/>
  <c r="P23" i="7" s="1"/>
  <c r="B8" i="7"/>
  <c r="C23" i="7" s="1"/>
  <c r="A8" i="7"/>
  <c r="J7" i="7"/>
  <c r="AD103" i="7" s="1"/>
  <c r="I7" i="7"/>
  <c r="P103" i="7" s="1"/>
  <c r="H7" i="7"/>
  <c r="C103" i="7" s="1"/>
  <c r="G7" i="7"/>
  <c r="AD63" i="7" s="1"/>
  <c r="AI63" i="7" s="1"/>
  <c r="E90" i="7" s="1"/>
  <c r="F7" i="7"/>
  <c r="P63" i="7" s="1"/>
  <c r="E7" i="7"/>
  <c r="C63" i="7" s="1"/>
  <c r="H63" i="7" s="1"/>
  <c r="C90" i="7" s="1"/>
  <c r="D7" i="7"/>
  <c r="AC22" i="7" s="1"/>
  <c r="C7" i="7"/>
  <c r="P22" i="7" s="1"/>
  <c r="B7" i="7"/>
  <c r="C22" i="7" s="1"/>
  <c r="A7" i="7"/>
  <c r="J6" i="7"/>
  <c r="AD102" i="7" s="1"/>
  <c r="I6" i="7"/>
  <c r="P102" i="7" s="1"/>
  <c r="H6" i="7"/>
  <c r="C102" i="7" s="1"/>
  <c r="G6" i="7"/>
  <c r="AD62" i="7" s="1"/>
  <c r="AI62" i="7" s="1"/>
  <c r="E89" i="7" s="1"/>
  <c r="F6" i="7"/>
  <c r="P62" i="7" s="1"/>
  <c r="E6" i="7"/>
  <c r="C62" i="7" s="1"/>
  <c r="H62" i="7" s="1"/>
  <c r="C89" i="7" s="1"/>
  <c r="D6" i="7"/>
  <c r="AC21" i="7" s="1"/>
  <c r="C6" i="7"/>
  <c r="P21" i="7" s="1"/>
  <c r="B6" i="7"/>
  <c r="C21" i="7" s="1"/>
  <c r="A6" i="7"/>
  <c r="J5" i="7"/>
  <c r="AD101" i="7" s="1"/>
  <c r="I5" i="7"/>
  <c r="P101" i="7" s="1"/>
  <c r="H5" i="7"/>
  <c r="C101" i="7" s="1"/>
  <c r="G5" i="7"/>
  <c r="AD61" i="7" s="1"/>
  <c r="F5" i="7"/>
  <c r="P61" i="7" s="1"/>
  <c r="E5" i="7"/>
  <c r="C61" i="7" s="1"/>
  <c r="H61" i="7" s="1"/>
  <c r="C88" i="7" s="1"/>
  <c r="D5" i="7"/>
  <c r="AC20" i="7" s="1"/>
  <c r="C5" i="7"/>
  <c r="P20" i="7" s="1"/>
  <c r="B5" i="7"/>
  <c r="C20" i="7" s="1"/>
  <c r="A5" i="7"/>
  <c r="J4" i="7"/>
  <c r="I4" i="7"/>
  <c r="H4" i="7"/>
  <c r="G4" i="7"/>
  <c r="F4" i="7"/>
  <c r="E4" i="7"/>
  <c r="D4" i="7"/>
  <c r="C4" i="7"/>
  <c r="B4" i="7"/>
  <c r="J3" i="7"/>
  <c r="I3" i="7"/>
  <c r="H3" i="7"/>
  <c r="G3" i="7"/>
  <c r="F3" i="7"/>
  <c r="E3" i="7"/>
  <c r="D3" i="7"/>
  <c r="C3" i="7"/>
  <c r="B3" i="7"/>
  <c r="H2" i="7"/>
  <c r="E2" i="7"/>
  <c r="B2" i="7"/>
  <c r="A2" i="7"/>
  <c r="J10" i="5"/>
  <c r="R99" i="5" s="1"/>
  <c r="S99" i="5" s="1"/>
  <c r="I10" i="5"/>
  <c r="K99" i="5" s="1"/>
  <c r="L99" i="5" s="1"/>
  <c r="H10" i="5"/>
  <c r="C99" i="5" s="1"/>
  <c r="D99" i="5" s="1"/>
  <c r="G10" i="5"/>
  <c r="R62" i="5" s="1"/>
  <c r="S62" i="5" s="1"/>
  <c r="F10" i="5"/>
  <c r="K61" i="5" s="1"/>
  <c r="L61" i="5" s="1"/>
  <c r="E10" i="5"/>
  <c r="C61" i="5" s="1"/>
  <c r="D61" i="5" s="1"/>
  <c r="D10" i="5"/>
  <c r="R29" i="5" s="1"/>
  <c r="S29" i="5" s="1"/>
  <c r="C10" i="5"/>
  <c r="K29" i="5" s="1"/>
  <c r="L29" i="5" s="1"/>
  <c r="B10" i="5"/>
  <c r="C29" i="5" s="1"/>
  <c r="D29" i="5" s="1"/>
  <c r="A10" i="5"/>
  <c r="J9" i="5"/>
  <c r="R98" i="5" s="1"/>
  <c r="S98" i="5" s="1"/>
  <c r="I9" i="5"/>
  <c r="K98" i="5" s="1"/>
  <c r="L98" i="5" s="1"/>
  <c r="H9" i="5"/>
  <c r="C98" i="5" s="1"/>
  <c r="D98" i="5" s="1"/>
  <c r="G9" i="5"/>
  <c r="R61" i="5" s="1"/>
  <c r="S61" i="5" s="1"/>
  <c r="F9" i="5"/>
  <c r="K60" i="5" s="1"/>
  <c r="L60" i="5" s="1"/>
  <c r="E9" i="5"/>
  <c r="C60" i="5" s="1"/>
  <c r="D60" i="5" s="1"/>
  <c r="D9" i="5"/>
  <c r="R28" i="5" s="1"/>
  <c r="S28" i="5" s="1"/>
  <c r="C9" i="5"/>
  <c r="K28" i="5" s="1"/>
  <c r="L28" i="5" s="1"/>
  <c r="B9" i="5"/>
  <c r="A9" i="5"/>
  <c r="J8" i="5"/>
  <c r="R97" i="5" s="1"/>
  <c r="S97" i="5" s="1"/>
  <c r="I8" i="5"/>
  <c r="K97" i="5" s="1"/>
  <c r="L97" i="5" s="1"/>
  <c r="H8" i="5"/>
  <c r="C97" i="5" s="1"/>
  <c r="D97" i="5" s="1"/>
  <c r="G8" i="5"/>
  <c r="R60" i="5" s="1"/>
  <c r="S60" i="5" s="1"/>
  <c r="F8" i="5"/>
  <c r="K59" i="5" s="1"/>
  <c r="L59" i="5" s="1"/>
  <c r="E8" i="5"/>
  <c r="C59" i="5" s="1"/>
  <c r="D59" i="5" s="1"/>
  <c r="D8" i="5"/>
  <c r="R27" i="5" s="1"/>
  <c r="S27" i="5" s="1"/>
  <c r="C8" i="5"/>
  <c r="K27" i="5" s="1"/>
  <c r="L27" i="5" s="1"/>
  <c r="B8" i="5"/>
  <c r="C27" i="5" s="1"/>
  <c r="D27" i="5" s="1"/>
  <c r="A8" i="5"/>
  <c r="J7" i="5"/>
  <c r="R96" i="5" s="1"/>
  <c r="S96" i="5" s="1"/>
  <c r="I7" i="5"/>
  <c r="K96" i="5" s="1"/>
  <c r="L96" i="5" s="1"/>
  <c r="H7" i="5"/>
  <c r="C96" i="5" s="1"/>
  <c r="D96" i="5" s="1"/>
  <c r="G7" i="5"/>
  <c r="R59" i="5" s="1"/>
  <c r="S59" i="5" s="1"/>
  <c r="F7" i="5"/>
  <c r="K58" i="5" s="1"/>
  <c r="L58" i="5" s="1"/>
  <c r="E7" i="5"/>
  <c r="C58" i="5" s="1"/>
  <c r="D58" i="5" s="1"/>
  <c r="D7" i="5"/>
  <c r="R26" i="5" s="1"/>
  <c r="S26" i="5" s="1"/>
  <c r="C7" i="5"/>
  <c r="K26" i="5" s="1"/>
  <c r="L26" i="5" s="1"/>
  <c r="B7" i="5"/>
  <c r="C26" i="5" s="1"/>
  <c r="D26" i="5" s="1"/>
  <c r="A7" i="5"/>
  <c r="J6" i="5"/>
  <c r="R95" i="5" s="1"/>
  <c r="S95" i="5" s="1"/>
  <c r="I6" i="5"/>
  <c r="K95" i="5" s="1"/>
  <c r="L95" i="5" s="1"/>
  <c r="H6" i="5"/>
  <c r="C95" i="5" s="1"/>
  <c r="D95" i="5" s="1"/>
  <c r="G6" i="5"/>
  <c r="R58" i="5" s="1"/>
  <c r="S58" i="5" s="1"/>
  <c r="F6" i="5"/>
  <c r="K57" i="5" s="1"/>
  <c r="L57" i="5" s="1"/>
  <c r="E6" i="5"/>
  <c r="C57" i="5" s="1"/>
  <c r="D57" i="5" s="1"/>
  <c r="D6" i="5"/>
  <c r="R25" i="5" s="1"/>
  <c r="S25" i="5" s="1"/>
  <c r="C6" i="5"/>
  <c r="K25" i="5" s="1"/>
  <c r="L25" i="5" s="1"/>
  <c r="B6" i="5"/>
  <c r="C25" i="5" s="1"/>
  <c r="D25" i="5" s="1"/>
  <c r="A6" i="5"/>
  <c r="J5" i="5"/>
  <c r="R94" i="5" s="1"/>
  <c r="S94" i="5" s="1"/>
  <c r="I5" i="5"/>
  <c r="K94" i="5" s="1"/>
  <c r="L94" i="5" s="1"/>
  <c r="H5" i="5"/>
  <c r="C94" i="5" s="1"/>
  <c r="D94" i="5" s="1"/>
  <c r="G5" i="5"/>
  <c r="R57" i="5" s="1"/>
  <c r="S57" i="5" s="1"/>
  <c r="F5" i="5"/>
  <c r="K56" i="5" s="1"/>
  <c r="L56" i="5" s="1"/>
  <c r="E5" i="5"/>
  <c r="C56" i="5" s="1"/>
  <c r="D56" i="5" s="1"/>
  <c r="D5" i="5"/>
  <c r="R24" i="5" s="1"/>
  <c r="S24" i="5" s="1"/>
  <c r="C5" i="5"/>
  <c r="K24" i="5" s="1"/>
  <c r="L24" i="5" s="1"/>
  <c r="B5" i="5"/>
  <c r="C24" i="5" s="1"/>
  <c r="D24" i="5" s="1"/>
  <c r="A5" i="5"/>
  <c r="J4" i="5"/>
  <c r="I4" i="5"/>
  <c r="H4" i="5"/>
  <c r="G4" i="5"/>
  <c r="F4" i="5"/>
  <c r="E4" i="5"/>
  <c r="D4" i="5"/>
  <c r="C4" i="5"/>
  <c r="B4" i="5"/>
  <c r="J3" i="5"/>
  <c r="I3" i="5"/>
  <c r="H3" i="5"/>
  <c r="G3" i="5"/>
  <c r="F3" i="5"/>
  <c r="E3" i="5"/>
  <c r="D3" i="5"/>
  <c r="C3" i="5"/>
  <c r="B3" i="5"/>
  <c r="H2" i="5"/>
  <c r="E2" i="5"/>
  <c r="B2" i="5"/>
  <c r="A2" i="5"/>
  <c r="J11" i="3"/>
  <c r="S83" i="3" s="1"/>
  <c r="T83" i="3" s="1"/>
  <c r="I11" i="3"/>
  <c r="H11" i="3"/>
  <c r="C83" i="3" s="1"/>
  <c r="D83" i="3" s="1"/>
  <c r="G11" i="3"/>
  <c r="S54" i="3" s="1"/>
  <c r="T54" i="3" s="1"/>
  <c r="F11" i="3"/>
  <c r="K54" i="3" s="1"/>
  <c r="L54" i="3" s="1"/>
  <c r="E11" i="3"/>
  <c r="C54" i="3" s="1"/>
  <c r="D54" i="3" s="1"/>
  <c r="D11" i="3"/>
  <c r="S26" i="3" s="1"/>
  <c r="T26" i="3" s="1"/>
  <c r="C11" i="3"/>
  <c r="K26" i="3" s="1"/>
  <c r="L26" i="3" s="1"/>
  <c r="B11" i="3"/>
  <c r="C26" i="3" s="1"/>
  <c r="D26" i="3" s="1"/>
  <c r="A11" i="3"/>
  <c r="A26" i="3" s="1"/>
  <c r="E26" i="3" s="1"/>
  <c r="J10" i="3"/>
  <c r="S82" i="3" s="1"/>
  <c r="T82" i="3" s="1"/>
  <c r="I10" i="3"/>
  <c r="K82" i="3" s="1"/>
  <c r="L82" i="3" s="1"/>
  <c r="H10" i="3"/>
  <c r="C82" i="3" s="1"/>
  <c r="D82" i="3" s="1"/>
  <c r="G10" i="3"/>
  <c r="S53" i="3" s="1"/>
  <c r="T53" i="3" s="1"/>
  <c r="F10" i="3"/>
  <c r="K53" i="3" s="1"/>
  <c r="L53" i="3" s="1"/>
  <c r="E10" i="3"/>
  <c r="C53" i="3" s="1"/>
  <c r="D53" i="3" s="1"/>
  <c r="D10" i="3"/>
  <c r="S25" i="3" s="1"/>
  <c r="T25" i="3" s="1"/>
  <c r="C10" i="3"/>
  <c r="K25" i="3" s="1"/>
  <c r="L25" i="3" s="1"/>
  <c r="B10" i="3"/>
  <c r="C25" i="3" s="1"/>
  <c r="D25" i="3" s="1"/>
  <c r="A10" i="3"/>
  <c r="J9" i="3"/>
  <c r="S81" i="3" s="1"/>
  <c r="T81" i="3" s="1"/>
  <c r="I9" i="3"/>
  <c r="K81" i="3" s="1"/>
  <c r="L81" i="3" s="1"/>
  <c r="H9" i="3"/>
  <c r="C81" i="3" s="1"/>
  <c r="D81" i="3" s="1"/>
  <c r="G9" i="3"/>
  <c r="S52" i="3" s="1"/>
  <c r="T52" i="3" s="1"/>
  <c r="F9" i="3"/>
  <c r="K52" i="3" s="1"/>
  <c r="L52" i="3" s="1"/>
  <c r="E9" i="3"/>
  <c r="C52" i="3" s="1"/>
  <c r="D52" i="3" s="1"/>
  <c r="D9" i="3"/>
  <c r="S24" i="3" s="1"/>
  <c r="T24" i="3" s="1"/>
  <c r="C9" i="3"/>
  <c r="K24" i="3" s="1"/>
  <c r="L24" i="3" s="1"/>
  <c r="B9" i="3"/>
  <c r="C24" i="3" s="1"/>
  <c r="D24" i="3" s="1"/>
  <c r="A9" i="3"/>
  <c r="J8" i="3"/>
  <c r="S80" i="3" s="1"/>
  <c r="T80" i="3" s="1"/>
  <c r="I8" i="3"/>
  <c r="K80" i="3" s="1"/>
  <c r="L80" i="3" s="1"/>
  <c r="H8" i="3"/>
  <c r="C80" i="3" s="1"/>
  <c r="D80" i="3" s="1"/>
  <c r="G8" i="3"/>
  <c r="S51" i="3" s="1"/>
  <c r="T51" i="3" s="1"/>
  <c r="F8" i="3"/>
  <c r="K51" i="3" s="1"/>
  <c r="L51" i="3" s="1"/>
  <c r="E8" i="3"/>
  <c r="C51" i="3" s="1"/>
  <c r="D51" i="3" s="1"/>
  <c r="D8" i="3"/>
  <c r="S23" i="3" s="1"/>
  <c r="T23" i="3" s="1"/>
  <c r="C8" i="3"/>
  <c r="K23" i="3" s="1"/>
  <c r="L23" i="3" s="1"/>
  <c r="B8" i="3"/>
  <c r="C23" i="3" s="1"/>
  <c r="D23" i="3" s="1"/>
  <c r="A8" i="3"/>
  <c r="J7" i="3"/>
  <c r="S79" i="3" s="1"/>
  <c r="T79" i="3" s="1"/>
  <c r="I7" i="3"/>
  <c r="K79" i="3" s="1"/>
  <c r="L79" i="3" s="1"/>
  <c r="H7" i="3"/>
  <c r="C79" i="3" s="1"/>
  <c r="D79" i="3" s="1"/>
  <c r="G7" i="3"/>
  <c r="S50" i="3" s="1"/>
  <c r="T50" i="3" s="1"/>
  <c r="F7" i="3"/>
  <c r="K50" i="3" s="1"/>
  <c r="L50" i="3" s="1"/>
  <c r="E7" i="3"/>
  <c r="C50" i="3" s="1"/>
  <c r="D50" i="3" s="1"/>
  <c r="D7" i="3"/>
  <c r="S22" i="3" s="1"/>
  <c r="T22" i="3" s="1"/>
  <c r="Q30" i="3" s="1"/>
  <c r="S30" i="3" s="1"/>
  <c r="C7" i="3"/>
  <c r="K22" i="3" s="1"/>
  <c r="L22" i="3" s="1"/>
  <c r="I30" i="3" s="1"/>
  <c r="K30" i="3" s="1"/>
  <c r="B7" i="3"/>
  <c r="C22" i="3" s="1"/>
  <c r="D22" i="3" s="1"/>
  <c r="A7" i="3"/>
  <c r="J6" i="3"/>
  <c r="S78" i="3" s="1"/>
  <c r="T78" i="3" s="1"/>
  <c r="I6" i="3"/>
  <c r="K78" i="3" s="1"/>
  <c r="L78" i="3" s="1"/>
  <c r="H6" i="3"/>
  <c r="C78" i="3" s="1"/>
  <c r="D78" i="3" s="1"/>
  <c r="G6" i="3"/>
  <c r="S49" i="3" s="1"/>
  <c r="T49" i="3" s="1"/>
  <c r="F6" i="3"/>
  <c r="K49" i="3" s="1"/>
  <c r="L49" i="3" s="1"/>
  <c r="E6" i="3"/>
  <c r="C49" i="3" s="1"/>
  <c r="D49" i="3" s="1"/>
  <c r="D6" i="3"/>
  <c r="S21" i="3" s="1"/>
  <c r="T21" i="3" s="1"/>
  <c r="C6" i="3"/>
  <c r="K21" i="3" s="1"/>
  <c r="L21" i="3" s="1"/>
  <c r="B6" i="3"/>
  <c r="C21" i="3" s="1"/>
  <c r="D21" i="3" s="1"/>
  <c r="A6" i="3"/>
  <c r="J4" i="3"/>
  <c r="I4" i="3"/>
  <c r="H4" i="3"/>
  <c r="G4" i="3"/>
  <c r="F4" i="3"/>
  <c r="E4" i="3"/>
  <c r="D4" i="3"/>
  <c r="C4" i="3"/>
  <c r="B4" i="3"/>
  <c r="J3" i="3"/>
  <c r="I3" i="3"/>
  <c r="H3" i="3"/>
  <c r="G3" i="3"/>
  <c r="F3" i="3"/>
  <c r="E3" i="3"/>
  <c r="D3" i="3"/>
  <c r="C3" i="3"/>
  <c r="B3" i="3"/>
  <c r="H2" i="3"/>
  <c r="E2" i="3"/>
  <c r="B2" i="3"/>
  <c r="A2" i="3"/>
  <c r="A1" i="3"/>
  <c r="J10" i="8"/>
  <c r="AD106" i="8" s="1"/>
  <c r="I10" i="8"/>
  <c r="P106" i="8" s="1"/>
  <c r="H10" i="8"/>
  <c r="C106" i="8" s="1"/>
  <c r="G10" i="8"/>
  <c r="AD66" i="8" s="1"/>
  <c r="F10" i="8"/>
  <c r="P66" i="8" s="1"/>
  <c r="E10" i="8"/>
  <c r="C66" i="8" s="1"/>
  <c r="D10" i="8"/>
  <c r="AC25" i="8" s="1"/>
  <c r="AE25" i="8" s="1"/>
  <c r="C10" i="8"/>
  <c r="P25" i="8" s="1"/>
  <c r="B10" i="8"/>
  <c r="C25" i="8" s="1"/>
  <c r="A10" i="8"/>
  <c r="J9" i="8"/>
  <c r="AD105" i="8" s="1"/>
  <c r="AI105" i="8" s="1"/>
  <c r="F133" i="8" s="1"/>
  <c r="I9" i="8"/>
  <c r="P105" i="8" s="1"/>
  <c r="H9" i="8"/>
  <c r="C105" i="8" s="1"/>
  <c r="G9" i="8"/>
  <c r="AD65" i="8" s="1"/>
  <c r="AI65" i="8" s="1"/>
  <c r="E92" i="8" s="1"/>
  <c r="F9" i="8"/>
  <c r="P65" i="8" s="1"/>
  <c r="E9" i="8"/>
  <c r="C65" i="8" s="1"/>
  <c r="D9" i="8"/>
  <c r="AC24" i="8" s="1"/>
  <c r="AD24" i="8" s="1"/>
  <c r="C9" i="8"/>
  <c r="P24" i="8" s="1"/>
  <c r="R24" i="8" s="1"/>
  <c r="B9" i="8"/>
  <c r="C24" i="8" s="1"/>
  <c r="A9" i="8"/>
  <c r="J8" i="8"/>
  <c r="AD104" i="8" s="1"/>
  <c r="AF104" i="8" s="1"/>
  <c r="I8" i="8"/>
  <c r="P104" i="8" s="1"/>
  <c r="U104" i="8" s="1"/>
  <c r="E132" i="8" s="1"/>
  <c r="H8" i="8"/>
  <c r="C104" i="8" s="1"/>
  <c r="G8" i="8"/>
  <c r="AD64" i="8" s="1"/>
  <c r="AF64" i="8" s="1"/>
  <c r="F8" i="8"/>
  <c r="P64" i="8" s="1"/>
  <c r="U64" i="8" s="1"/>
  <c r="D91" i="8" s="1"/>
  <c r="E8" i="8"/>
  <c r="C64" i="8" s="1"/>
  <c r="D8" i="8"/>
  <c r="AC23" i="8" s="1"/>
  <c r="C8" i="8"/>
  <c r="P23" i="8" s="1"/>
  <c r="Q23" i="8" s="1"/>
  <c r="B8" i="8"/>
  <c r="C23" i="8" s="1"/>
  <c r="E23" i="8" s="1"/>
  <c r="A8" i="8"/>
  <c r="J7" i="8"/>
  <c r="AD103" i="8" s="1"/>
  <c r="I7" i="8"/>
  <c r="P103" i="8" s="1"/>
  <c r="H7" i="8"/>
  <c r="C103" i="8" s="1"/>
  <c r="H103" i="8" s="1"/>
  <c r="D131" i="8" s="1"/>
  <c r="G7" i="8"/>
  <c r="AD63" i="8" s="1"/>
  <c r="F7" i="8"/>
  <c r="P63" i="8" s="1"/>
  <c r="E7" i="8"/>
  <c r="C63" i="8" s="1"/>
  <c r="H63" i="8" s="1"/>
  <c r="C90" i="8" s="1"/>
  <c r="D7" i="8"/>
  <c r="AC22" i="8" s="1"/>
  <c r="C7" i="8"/>
  <c r="P22" i="8" s="1"/>
  <c r="B7" i="8"/>
  <c r="C22" i="8" s="1"/>
  <c r="E22" i="8" s="1"/>
  <c r="A7" i="8"/>
  <c r="J6" i="8"/>
  <c r="AD102" i="8" s="1"/>
  <c r="I6" i="8"/>
  <c r="P102" i="8" s="1"/>
  <c r="H6" i="8"/>
  <c r="C102" i="8" s="1"/>
  <c r="G6" i="8"/>
  <c r="AD62" i="8" s="1"/>
  <c r="F6" i="8"/>
  <c r="P62" i="8" s="1"/>
  <c r="E6" i="8"/>
  <c r="C62" i="8" s="1"/>
  <c r="D62" i="8" s="1"/>
  <c r="D6" i="8"/>
  <c r="AC21" i="8" s="1"/>
  <c r="AE21" i="8" s="1"/>
  <c r="C6" i="8"/>
  <c r="P21" i="8" s="1"/>
  <c r="B6" i="8"/>
  <c r="C21" i="8" s="1"/>
  <c r="A6" i="8"/>
  <c r="J5" i="8"/>
  <c r="AD101" i="8" s="1"/>
  <c r="AI101" i="8" s="1"/>
  <c r="F129" i="8" s="1"/>
  <c r="I5" i="8"/>
  <c r="P101" i="8" s="1"/>
  <c r="H5" i="8"/>
  <c r="C101" i="8" s="1"/>
  <c r="G5" i="8"/>
  <c r="AD61" i="8" s="1"/>
  <c r="AE61" i="8" s="1"/>
  <c r="F5" i="8"/>
  <c r="P61" i="8" s="1"/>
  <c r="E5" i="8"/>
  <c r="C61" i="8" s="1"/>
  <c r="D5" i="8"/>
  <c r="AC20" i="8" s="1"/>
  <c r="AH20" i="8" s="1"/>
  <c r="E46" i="8" s="1"/>
  <c r="C5" i="8"/>
  <c r="P20" i="8" s="1"/>
  <c r="R20" i="8" s="1"/>
  <c r="B5" i="8"/>
  <c r="C20" i="8" s="1"/>
  <c r="A5" i="8"/>
  <c r="J4" i="8"/>
  <c r="I4" i="8"/>
  <c r="H4" i="8"/>
  <c r="G4" i="8"/>
  <c r="F4" i="8"/>
  <c r="E4" i="8"/>
  <c r="D4" i="8"/>
  <c r="C4" i="8"/>
  <c r="B4" i="8"/>
  <c r="J3" i="8"/>
  <c r="I3" i="8"/>
  <c r="H3" i="8"/>
  <c r="G3" i="8"/>
  <c r="F3" i="8"/>
  <c r="E3" i="8"/>
  <c r="D3" i="8"/>
  <c r="C3" i="8"/>
  <c r="B3" i="8"/>
  <c r="H2" i="8"/>
  <c r="E2" i="8"/>
  <c r="B2" i="8"/>
  <c r="A2" i="8"/>
  <c r="A1" i="8"/>
  <c r="J10" i="6"/>
  <c r="R99" i="6" s="1"/>
  <c r="S99" i="6" s="1"/>
  <c r="I10" i="6"/>
  <c r="K99" i="6" s="1"/>
  <c r="L99" i="6" s="1"/>
  <c r="H10" i="6"/>
  <c r="C99" i="6" s="1"/>
  <c r="D99" i="6" s="1"/>
  <c r="G10" i="6"/>
  <c r="R62" i="6" s="1"/>
  <c r="S62" i="6" s="1"/>
  <c r="F10" i="6"/>
  <c r="K61" i="6" s="1"/>
  <c r="L61" i="6" s="1"/>
  <c r="E10" i="6"/>
  <c r="C61" i="6" s="1"/>
  <c r="D61" i="6" s="1"/>
  <c r="D10" i="6"/>
  <c r="R29" i="6" s="1"/>
  <c r="S29" i="6" s="1"/>
  <c r="C10" i="6"/>
  <c r="K29" i="6" s="1"/>
  <c r="L29" i="6" s="1"/>
  <c r="B10" i="6"/>
  <c r="C29" i="6" s="1"/>
  <c r="D29" i="6" s="1"/>
  <c r="A10" i="6"/>
  <c r="J9" i="6"/>
  <c r="R98" i="6" s="1"/>
  <c r="S98" i="6" s="1"/>
  <c r="I9" i="6"/>
  <c r="K98" i="6" s="1"/>
  <c r="L98" i="6" s="1"/>
  <c r="H9" i="6"/>
  <c r="C98" i="6" s="1"/>
  <c r="D98" i="6" s="1"/>
  <c r="G9" i="6"/>
  <c r="R61" i="6" s="1"/>
  <c r="S61" i="6" s="1"/>
  <c r="F9" i="6"/>
  <c r="K60" i="6" s="1"/>
  <c r="L60" i="6" s="1"/>
  <c r="E9" i="6"/>
  <c r="C60" i="6" s="1"/>
  <c r="D60" i="6" s="1"/>
  <c r="D9" i="6"/>
  <c r="R28" i="6" s="1"/>
  <c r="S28" i="6" s="1"/>
  <c r="C9" i="6"/>
  <c r="K28" i="6" s="1"/>
  <c r="L28" i="6" s="1"/>
  <c r="B9" i="6"/>
  <c r="C28" i="6" s="1"/>
  <c r="D28" i="6" s="1"/>
  <c r="A9" i="6"/>
  <c r="J8" i="6"/>
  <c r="R97" i="6" s="1"/>
  <c r="S97" i="6" s="1"/>
  <c r="I8" i="6"/>
  <c r="K97" i="6" s="1"/>
  <c r="L97" i="6" s="1"/>
  <c r="H8" i="6"/>
  <c r="C97" i="6" s="1"/>
  <c r="D97" i="6" s="1"/>
  <c r="G8" i="6"/>
  <c r="R60" i="6" s="1"/>
  <c r="S60" i="6" s="1"/>
  <c r="F8" i="6"/>
  <c r="K59" i="6" s="1"/>
  <c r="L59" i="6" s="1"/>
  <c r="E8" i="6"/>
  <c r="C59" i="6" s="1"/>
  <c r="D59" i="6" s="1"/>
  <c r="D8" i="6"/>
  <c r="R27" i="6" s="1"/>
  <c r="S27" i="6" s="1"/>
  <c r="C8" i="6"/>
  <c r="K27" i="6" s="1"/>
  <c r="L27" i="6" s="1"/>
  <c r="B8" i="6"/>
  <c r="C27" i="6" s="1"/>
  <c r="D27" i="6" s="1"/>
  <c r="A8" i="6"/>
  <c r="J7" i="6"/>
  <c r="R96" i="6" s="1"/>
  <c r="S96" i="6" s="1"/>
  <c r="I7" i="6"/>
  <c r="K96" i="6" s="1"/>
  <c r="L96" i="6" s="1"/>
  <c r="H7" i="6"/>
  <c r="C96" i="6" s="1"/>
  <c r="D96" i="6" s="1"/>
  <c r="G7" i="6"/>
  <c r="R59" i="6" s="1"/>
  <c r="S59" i="6" s="1"/>
  <c r="F7" i="6"/>
  <c r="K58" i="6" s="1"/>
  <c r="L58" i="6" s="1"/>
  <c r="E7" i="6"/>
  <c r="C58" i="6" s="1"/>
  <c r="D58" i="6" s="1"/>
  <c r="D7" i="6"/>
  <c r="R26" i="6" s="1"/>
  <c r="S26" i="6" s="1"/>
  <c r="C7" i="6"/>
  <c r="K26" i="6" s="1"/>
  <c r="L26" i="6" s="1"/>
  <c r="B7" i="6"/>
  <c r="C26" i="6" s="1"/>
  <c r="D26" i="6" s="1"/>
  <c r="A7" i="6"/>
  <c r="J6" i="6"/>
  <c r="R95" i="6" s="1"/>
  <c r="S95" i="6" s="1"/>
  <c r="I6" i="6"/>
  <c r="K95" i="6" s="1"/>
  <c r="L95" i="6" s="1"/>
  <c r="H6" i="6"/>
  <c r="C95" i="6" s="1"/>
  <c r="D95" i="6" s="1"/>
  <c r="G6" i="6"/>
  <c r="R58" i="6" s="1"/>
  <c r="S58" i="6" s="1"/>
  <c r="P66" i="6" s="1"/>
  <c r="R66" i="6" s="1"/>
  <c r="F6" i="6"/>
  <c r="K57" i="6" s="1"/>
  <c r="L57" i="6" s="1"/>
  <c r="E6" i="6"/>
  <c r="C57" i="6" s="1"/>
  <c r="D57" i="6" s="1"/>
  <c r="D6" i="6"/>
  <c r="R25" i="6" s="1"/>
  <c r="S25" i="6" s="1"/>
  <c r="C6" i="6"/>
  <c r="K25" i="6" s="1"/>
  <c r="L25" i="6" s="1"/>
  <c r="I33" i="6" s="1"/>
  <c r="K33" i="6" s="1"/>
  <c r="D109" i="2" s="1"/>
  <c r="B6" i="6"/>
  <c r="C25" i="6" s="1"/>
  <c r="D25" i="6" s="1"/>
  <c r="A6" i="6"/>
  <c r="J5" i="6"/>
  <c r="R94" i="6" s="1"/>
  <c r="S94" i="6" s="1"/>
  <c r="I5" i="6"/>
  <c r="K94" i="6" s="1"/>
  <c r="L94" i="6" s="1"/>
  <c r="H5" i="6"/>
  <c r="C94" i="6" s="1"/>
  <c r="D94" i="6" s="1"/>
  <c r="G5" i="6"/>
  <c r="R57" i="6" s="1"/>
  <c r="S57" i="6" s="1"/>
  <c r="F5" i="6"/>
  <c r="K56" i="6" s="1"/>
  <c r="L56" i="6" s="1"/>
  <c r="E5" i="6"/>
  <c r="C56" i="6" s="1"/>
  <c r="D56" i="6" s="1"/>
  <c r="D5" i="6"/>
  <c r="R24" i="6" s="1"/>
  <c r="S24" i="6" s="1"/>
  <c r="C5" i="6"/>
  <c r="K24" i="6" s="1"/>
  <c r="L24" i="6" s="1"/>
  <c r="B5" i="6"/>
  <c r="C24" i="6" s="1"/>
  <c r="D24" i="6" s="1"/>
  <c r="A5" i="6"/>
  <c r="J4" i="6"/>
  <c r="I4" i="6"/>
  <c r="H4" i="6"/>
  <c r="G4" i="6"/>
  <c r="F4" i="6"/>
  <c r="E4" i="6"/>
  <c r="D4" i="6"/>
  <c r="C4" i="6"/>
  <c r="B4" i="6"/>
  <c r="A4" i="6"/>
  <c r="J3" i="6"/>
  <c r="I3" i="6"/>
  <c r="H3" i="6"/>
  <c r="G3" i="6"/>
  <c r="F3" i="6"/>
  <c r="E3" i="6"/>
  <c r="D3" i="6"/>
  <c r="C3" i="6"/>
  <c r="B3" i="6"/>
  <c r="A3" i="6"/>
  <c r="H2" i="6"/>
  <c r="E2" i="6"/>
  <c r="B2" i="6"/>
  <c r="A2" i="6"/>
  <c r="A1" i="6"/>
  <c r="J10" i="4"/>
  <c r="S82" i="4" s="1"/>
  <c r="T82" i="4" s="1"/>
  <c r="I10" i="4"/>
  <c r="H10" i="4"/>
  <c r="C82" i="4" s="1"/>
  <c r="D82" i="4" s="1"/>
  <c r="G10" i="4"/>
  <c r="S53" i="4" s="1"/>
  <c r="T53" i="4" s="1"/>
  <c r="F10" i="4"/>
  <c r="K53" i="4" s="1"/>
  <c r="L53" i="4" s="1"/>
  <c r="E10" i="4"/>
  <c r="C53" i="4" s="1"/>
  <c r="D53" i="4" s="1"/>
  <c r="D10" i="4"/>
  <c r="S25" i="4" s="1"/>
  <c r="T25" i="4" s="1"/>
  <c r="C10" i="4"/>
  <c r="K25" i="4" s="1"/>
  <c r="L25" i="4" s="1"/>
  <c r="B10" i="4"/>
  <c r="C25" i="4" s="1"/>
  <c r="D25" i="4" s="1"/>
  <c r="A10" i="4"/>
  <c r="A25" i="4" s="1"/>
  <c r="J9" i="4"/>
  <c r="S81" i="4" s="1"/>
  <c r="T81" i="4" s="1"/>
  <c r="I9" i="4"/>
  <c r="K81" i="4" s="1"/>
  <c r="L81" i="4" s="1"/>
  <c r="H9" i="4"/>
  <c r="C81" i="4" s="1"/>
  <c r="D81" i="4" s="1"/>
  <c r="G9" i="4"/>
  <c r="S52" i="4" s="1"/>
  <c r="T52" i="4" s="1"/>
  <c r="F9" i="4"/>
  <c r="K52" i="4" s="1"/>
  <c r="L52" i="4" s="1"/>
  <c r="E9" i="4"/>
  <c r="C52" i="4" s="1"/>
  <c r="D52" i="4" s="1"/>
  <c r="D9" i="4"/>
  <c r="S24" i="4" s="1"/>
  <c r="T24" i="4" s="1"/>
  <c r="C9" i="4"/>
  <c r="K24" i="4" s="1"/>
  <c r="L24" i="4" s="1"/>
  <c r="B9" i="4"/>
  <c r="C24" i="4" s="1"/>
  <c r="D24" i="4" s="1"/>
  <c r="A9" i="4"/>
  <c r="J8" i="4"/>
  <c r="S80" i="4" s="1"/>
  <c r="T80" i="4" s="1"/>
  <c r="I8" i="4"/>
  <c r="K80" i="4" s="1"/>
  <c r="L80" i="4" s="1"/>
  <c r="H8" i="4"/>
  <c r="C80" i="4" s="1"/>
  <c r="D80" i="4" s="1"/>
  <c r="G8" i="4"/>
  <c r="S51" i="4" s="1"/>
  <c r="T51" i="4" s="1"/>
  <c r="F8" i="4"/>
  <c r="K51" i="4" s="1"/>
  <c r="L51" i="4" s="1"/>
  <c r="E8" i="4"/>
  <c r="C51" i="4" s="1"/>
  <c r="D51" i="4" s="1"/>
  <c r="D8" i="4"/>
  <c r="S23" i="4" s="1"/>
  <c r="T23" i="4" s="1"/>
  <c r="C8" i="4"/>
  <c r="K23" i="4" s="1"/>
  <c r="L23" i="4" s="1"/>
  <c r="B8" i="4"/>
  <c r="C23" i="4" s="1"/>
  <c r="D23" i="4" s="1"/>
  <c r="A8" i="4"/>
  <c r="J7" i="4"/>
  <c r="S79" i="4" s="1"/>
  <c r="T79" i="4" s="1"/>
  <c r="I7" i="4"/>
  <c r="K79" i="4" s="1"/>
  <c r="L79" i="4" s="1"/>
  <c r="H7" i="4"/>
  <c r="C79" i="4" s="1"/>
  <c r="D79" i="4" s="1"/>
  <c r="G7" i="4"/>
  <c r="S50" i="4" s="1"/>
  <c r="T50" i="4" s="1"/>
  <c r="F7" i="4"/>
  <c r="K50" i="4" s="1"/>
  <c r="L50" i="4" s="1"/>
  <c r="E7" i="4"/>
  <c r="C50" i="4" s="1"/>
  <c r="D50" i="4" s="1"/>
  <c r="D7" i="4"/>
  <c r="S22" i="4" s="1"/>
  <c r="T22" i="4" s="1"/>
  <c r="C7" i="4"/>
  <c r="K22" i="4" s="1"/>
  <c r="L22" i="4" s="1"/>
  <c r="B7" i="4"/>
  <c r="C22" i="4" s="1"/>
  <c r="D22" i="4" s="1"/>
  <c r="A7" i="4"/>
  <c r="J6" i="4"/>
  <c r="S78" i="4" s="1"/>
  <c r="T78" i="4" s="1"/>
  <c r="I6" i="4"/>
  <c r="K78" i="4" s="1"/>
  <c r="L78" i="4" s="1"/>
  <c r="H6" i="4"/>
  <c r="C78" i="4" s="1"/>
  <c r="D78" i="4" s="1"/>
  <c r="A86" i="4" s="1"/>
  <c r="C86" i="4" s="1"/>
  <c r="I104" i="2" s="1"/>
  <c r="G6" i="4"/>
  <c r="S49" i="4" s="1"/>
  <c r="T49" i="4" s="1"/>
  <c r="F6" i="4"/>
  <c r="K49" i="4" s="1"/>
  <c r="L49" i="4" s="1"/>
  <c r="E6" i="4"/>
  <c r="C49" i="4" s="1"/>
  <c r="D49" i="4" s="1"/>
  <c r="D6" i="4"/>
  <c r="S21" i="4" s="1"/>
  <c r="T21" i="4" s="1"/>
  <c r="R29" i="4" s="1"/>
  <c r="C6" i="4"/>
  <c r="K21" i="4" s="1"/>
  <c r="L21" i="4" s="1"/>
  <c r="B6" i="4"/>
  <c r="C21" i="4" s="1"/>
  <c r="D21" i="4" s="1"/>
  <c r="A6" i="4"/>
  <c r="J5" i="4"/>
  <c r="S77" i="4" s="1"/>
  <c r="T77" i="4" s="1"/>
  <c r="I5" i="4"/>
  <c r="K77" i="4" s="1"/>
  <c r="L77" i="4" s="1"/>
  <c r="H5" i="4"/>
  <c r="C77" i="4" s="1"/>
  <c r="D77" i="4" s="1"/>
  <c r="G5" i="4"/>
  <c r="S48" i="4" s="1"/>
  <c r="T48" i="4" s="1"/>
  <c r="F5" i="4"/>
  <c r="K48" i="4" s="1"/>
  <c r="L48" i="4" s="1"/>
  <c r="E5" i="4"/>
  <c r="C48" i="4" s="1"/>
  <c r="D48" i="4" s="1"/>
  <c r="D5" i="4"/>
  <c r="S20" i="4" s="1"/>
  <c r="T20" i="4" s="1"/>
  <c r="C5" i="4"/>
  <c r="K20" i="4" s="1"/>
  <c r="L20" i="4" s="1"/>
  <c r="B5" i="4"/>
  <c r="C20" i="4" s="1"/>
  <c r="D20" i="4" s="1"/>
  <c r="A5" i="4"/>
  <c r="J4" i="4"/>
  <c r="I4" i="4"/>
  <c r="H4" i="4"/>
  <c r="G4" i="4"/>
  <c r="F4" i="4"/>
  <c r="E4" i="4"/>
  <c r="D4" i="4"/>
  <c r="C4" i="4"/>
  <c r="B4" i="4"/>
  <c r="J3" i="4"/>
  <c r="I3" i="4"/>
  <c r="H3" i="4"/>
  <c r="G3" i="4"/>
  <c r="F3" i="4"/>
  <c r="E3" i="4"/>
  <c r="D3" i="4"/>
  <c r="C3" i="4"/>
  <c r="B3" i="4"/>
  <c r="H2" i="4"/>
  <c r="E2" i="4"/>
  <c r="B2" i="4"/>
  <c r="A2" i="4"/>
  <c r="J10" i="2"/>
  <c r="T89" i="2" s="1"/>
  <c r="U89" i="2" s="1"/>
  <c r="I10" i="2"/>
  <c r="L89" i="2" s="1"/>
  <c r="M89" i="2" s="1"/>
  <c r="H10" i="2"/>
  <c r="C89" i="2" s="1"/>
  <c r="D89" i="2" s="1"/>
  <c r="G10" i="2"/>
  <c r="T59" i="2" s="1"/>
  <c r="U59" i="2" s="1"/>
  <c r="F10" i="2"/>
  <c r="L59" i="2" s="1"/>
  <c r="M59" i="2" s="1"/>
  <c r="E10" i="2"/>
  <c r="C59" i="2" s="1"/>
  <c r="D59" i="2" s="1"/>
  <c r="D10" i="2"/>
  <c r="T25" i="2" s="1"/>
  <c r="U25" i="2" s="1"/>
  <c r="C10" i="2"/>
  <c r="L25" i="2" s="1"/>
  <c r="M25" i="2" s="1"/>
  <c r="B10" i="2"/>
  <c r="C25" i="2" s="1"/>
  <c r="D25" i="2" s="1"/>
  <c r="A10" i="2"/>
  <c r="A25" i="2" s="1"/>
  <c r="J9" i="2"/>
  <c r="T88" i="2" s="1"/>
  <c r="U88" i="2" s="1"/>
  <c r="I9" i="2"/>
  <c r="L88" i="2" s="1"/>
  <c r="M88" i="2" s="1"/>
  <c r="H9" i="2"/>
  <c r="C88" i="2" s="1"/>
  <c r="D88" i="2" s="1"/>
  <c r="G9" i="2"/>
  <c r="T58" i="2" s="1"/>
  <c r="U58" i="2" s="1"/>
  <c r="F9" i="2"/>
  <c r="L58" i="2" s="1"/>
  <c r="M58" i="2" s="1"/>
  <c r="E9" i="2"/>
  <c r="C58" i="2" s="1"/>
  <c r="D58" i="2" s="1"/>
  <c r="D9" i="2"/>
  <c r="T24" i="2" s="1"/>
  <c r="U24" i="2" s="1"/>
  <c r="C9" i="2"/>
  <c r="L24" i="2" s="1"/>
  <c r="M24" i="2" s="1"/>
  <c r="B9" i="2"/>
  <c r="C24" i="2" s="1"/>
  <c r="D24" i="2" s="1"/>
  <c r="A9" i="2"/>
  <c r="J8" i="2"/>
  <c r="T87" i="2" s="1"/>
  <c r="U87" i="2" s="1"/>
  <c r="I8" i="2"/>
  <c r="L87" i="2" s="1"/>
  <c r="M87" i="2" s="1"/>
  <c r="H8" i="2"/>
  <c r="C87" i="2" s="1"/>
  <c r="D87" i="2" s="1"/>
  <c r="G8" i="2"/>
  <c r="T57" i="2" s="1"/>
  <c r="U57" i="2" s="1"/>
  <c r="F8" i="2"/>
  <c r="L57" i="2" s="1"/>
  <c r="M57" i="2" s="1"/>
  <c r="E8" i="2"/>
  <c r="C57" i="2" s="1"/>
  <c r="D57" i="2" s="1"/>
  <c r="D8" i="2"/>
  <c r="T23" i="2" s="1"/>
  <c r="U23" i="2" s="1"/>
  <c r="C8" i="2"/>
  <c r="L23" i="2" s="1"/>
  <c r="M23" i="2" s="1"/>
  <c r="B8" i="2"/>
  <c r="C23" i="2" s="1"/>
  <c r="D23" i="2" s="1"/>
  <c r="A8" i="2"/>
  <c r="J7" i="2"/>
  <c r="T86" i="2" s="1"/>
  <c r="U86" i="2" s="1"/>
  <c r="I7" i="2"/>
  <c r="L86" i="2" s="1"/>
  <c r="M86" i="2" s="1"/>
  <c r="H7" i="2"/>
  <c r="C86" i="2" s="1"/>
  <c r="D86" i="2" s="1"/>
  <c r="G7" i="2"/>
  <c r="T56" i="2" s="1"/>
  <c r="U56" i="2" s="1"/>
  <c r="F7" i="2"/>
  <c r="L56" i="2" s="1"/>
  <c r="M56" i="2" s="1"/>
  <c r="E7" i="2"/>
  <c r="C56" i="2" s="1"/>
  <c r="D56" i="2" s="1"/>
  <c r="D7" i="2"/>
  <c r="T22" i="2" s="1"/>
  <c r="U22" i="2" s="1"/>
  <c r="C7" i="2"/>
  <c r="L22" i="2" s="1"/>
  <c r="M22" i="2" s="1"/>
  <c r="B7" i="2"/>
  <c r="C22" i="2" s="1"/>
  <c r="D22" i="2" s="1"/>
  <c r="A7" i="2"/>
  <c r="J6" i="2"/>
  <c r="T85" i="2" s="1"/>
  <c r="U85" i="2" s="1"/>
  <c r="R93" i="2" s="1"/>
  <c r="T93" i="2" s="1"/>
  <c r="K113" i="2" s="1"/>
  <c r="I6" i="2"/>
  <c r="L85" i="2" s="1"/>
  <c r="M85" i="2" s="1"/>
  <c r="H6" i="2"/>
  <c r="C85" i="2" s="1"/>
  <c r="D85" i="2" s="1"/>
  <c r="G6" i="2"/>
  <c r="T55" i="2" s="1"/>
  <c r="U55" i="2" s="1"/>
  <c r="F6" i="2"/>
  <c r="L55" i="2" s="1"/>
  <c r="M55" i="2" s="1"/>
  <c r="J63" i="2" s="1"/>
  <c r="L63" i="2" s="1"/>
  <c r="G113" i="2" s="1"/>
  <c r="E6" i="2"/>
  <c r="C55" i="2" s="1"/>
  <c r="D55" i="2" s="1"/>
  <c r="D6" i="2"/>
  <c r="T21" i="2" s="1"/>
  <c r="U21" i="2" s="1"/>
  <c r="C6" i="2"/>
  <c r="L21" i="2" s="1"/>
  <c r="M21" i="2" s="1"/>
  <c r="K29" i="2" s="1"/>
  <c r="B6" i="2"/>
  <c r="C21" i="2" s="1"/>
  <c r="D21" i="2" s="1"/>
  <c r="A29" i="2" s="1"/>
  <c r="C29" i="2" s="1"/>
  <c r="C113" i="2" s="1"/>
  <c r="A6" i="2"/>
  <c r="J5" i="2"/>
  <c r="T84" i="2" s="1"/>
  <c r="U84" i="2" s="1"/>
  <c r="I5" i="2"/>
  <c r="L84" i="2" s="1"/>
  <c r="M84" i="2" s="1"/>
  <c r="H5" i="2"/>
  <c r="C84" i="2" s="1"/>
  <c r="D84" i="2" s="1"/>
  <c r="G5" i="2"/>
  <c r="T54" i="2" s="1"/>
  <c r="U54" i="2" s="1"/>
  <c r="F5" i="2"/>
  <c r="L54" i="2" s="1"/>
  <c r="M54" i="2" s="1"/>
  <c r="E5" i="2"/>
  <c r="C54" i="2" s="1"/>
  <c r="D54" i="2" s="1"/>
  <c r="D5" i="2"/>
  <c r="T20" i="2" s="1"/>
  <c r="U20" i="2" s="1"/>
  <c r="C5" i="2"/>
  <c r="L20" i="2" s="1"/>
  <c r="M20" i="2" s="1"/>
  <c r="B5" i="2"/>
  <c r="C20" i="2" s="1"/>
  <c r="D20" i="2" s="1"/>
  <c r="A5" i="2"/>
  <c r="J4" i="2"/>
  <c r="I4" i="2"/>
  <c r="H4" i="2"/>
  <c r="G4" i="2"/>
  <c r="F4" i="2"/>
  <c r="E4" i="2"/>
  <c r="D4" i="2"/>
  <c r="C4" i="2"/>
  <c r="B4" i="2"/>
  <c r="A4" i="2"/>
  <c r="J3" i="2"/>
  <c r="I3" i="2"/>
  <c r="H3" i="2"/>
  <c r="G3" i="2"/>
  <c r="F3" i="2"/>
  <c r="E3" i="2"/>
  <c r="D3" i="2"/>
  <c r="C3" i="2"/>
  <c r="B3" i="2"/>
  <c r="A3" i="2"/>
  <c r="H2" i="2"/>
  <c r="E2" i="2"/>
  <c r="B2" i="2"/>
  <c r="A2" i="2"/>
  <c r="A1" i="2"/>
  <c r="J10" i="1"/>
  <c r="I10" i="1"/>
  <c r="L89" i="1" s="1"/>
  <c r="M89" i="1" s="1"/>
  <c r="H10" i="1"/>
  <c r="C89" i="1" s="1"/>
  <c r="D89" i="1" s="1"/>
  <c r="G10" i="1"/>
  <c r="T59" i="1" s="1"/>
  <c r="U59" i="1" s="1"/>
  <c r="F10" i="1"/>
  <c r="L59" i="1" s="1"/>
  <c r="M59" i="1" s="1"/>
  <c r="E10" i="1"/>
  <c r="C59" i="1" s="1"/>
  <c r="D59" i="1" s="1"/>
  <c r="D10" i="1"/>
  <c r="T25" i="1" s="1"/>
  <c r="U25" i="1" s="1"/>
  <c r="C10" i="1"/>
  <c r="L25" i="1" s="1"/>
  <c r="M25" i="1" s="1"/>
  <c r="B10" i="1"/>
  <c r="C25" i="1" s="1"/>
  <c r="A10" i="1"/>
  <c r="A25" i="1" s="1"/>
  <c r="J9" i="1"/>
  <c r="T88" i="1" s="1"/>
  <c r="U88" i="1" s="1"/>
  <c r="I9" i="1"/>
  <c r="L88" i="1" s="1"/>
  <c r="M88" i="1" s="1"/>
  <c r="H9" i="1"/>
  <c r="C88" i="1" s="1"/>
  <c r="D88" i="1" s="1"/>
  <c r="G9" i="1"/>
  <c r="T58" i="1" s="1"/>
  <c r="U58" i="1" s="1"/>
  <c r="F9" i="1"/>
  <c r="L58" i="1" s="1"/>
  <c r="M58" i="1" s="1"/>
  <c r="E9" i="1"/>
  <c r="C58" i="1" s="1"/>
  <c r="D58" i="1" s="1"/>
  <c r="D9" i="1"/>
  <c r="T24" i="1" s="1"/>
  <c r="U24" i="1" s="1"/>
  <c r="C9" i="1"/>
  <c r="L24" i="1" s="1"/>
  <c r="M24" i="1" s="1"/>
  <c r="B9" i="1"/>
  <c r="C24" i="1" s="1"/>
  <c r="A9" i="1"/>
  <c r="J8" i="1"/>
  <c r="T87" i="1" s="1"/>
  <c r="U87" i="1" s="1"/>
  <c r="I8" i="1"/>
  <c r="L87" i="1" s="1"/>
  <c r="M87" i="1" s="1"/>
  <c r="H8" i="1"/>
  <c r="C87" i="1" s="1"/>
  <c r="D87" i="1" s="1"/>
  <c r="G8" i="1"/>
  <c r="T57" i="1" s="1"/>
  <c r="U57" i="1" s="1"/>
  <c r="F8" i="1"/>
  <c r="L57" i="1" s="1"/>
  <c r="M57" i="1" s="1"/>
  <c r="E8" i="1"/>
  <c r="C57" i="1" s="1"/>
  <c r="D57" i="1" s="1"/>
  <c r="D8" i="1"/>
  <c r="T23" i="1" s="1"/>
  <c r="U23" i="1" s="1"/>
  <c r="C8" i="1"/>
  <c r="L23" i="1" s="1"/>
  <c r="M23" i="1" s="1"/>
  <c r="J29" i="1" s="1"/>
  <c r="L29" i="1" s="1"/>
  <c r="B8" i="1"/>
  <c r="C23" i="1" s="1"/>
  <c r="A8" i="1"/>
  <c r="J7" i="1"/>
  <c r="T86" i="1" s="1"/>
  <c r="U86" i="1" s="1"/>
  <c r="I7" i="1"/>
  <c r="L86" i="1" s="1"/>
  <c r="M86" i="1" s="1"/>
  <c r="H7" i="1"/>
  <c r="C86" i="1" s="1"/>
  <c r="D86" i="1" s="1"/>
  <c r="G7" i="1"/>
  <c r="T56" i="1" s="1"/>
  <c r="U56" i="1" s="1"/>
  <c r="F7" i="1"/>
  <c r="L56" i="1" s="1"/>
  <c r="M56" i="1" s="1"/>
  <c r="E7" i="1"/>
  <c r="C56" i="1" s="1"/>
  <c r="D56" i="1" s="1"/>
  <c r="D7" i="1"/>
  <c r="T22" i="1" s="1"/>
  <c r="U22" i="1" s="1"/>
  <c r="C7" i="1"/>
  <c r="L22" i="1" s="1"/>
  <c r="M22" i="1" s="1"/>
  <c r="B7" i="1"/>
  <c r="C22" i="1" s="1"/>
  <c r="A7" i="1"/>
  <c r="J6" i="1"/>
  <c r="T85" i="1" s="1"/>
  <c r="U85" i="1" s="1"/>
  <c r="I6" i="1"/>
  <c r="L85" i="1" s="1"/>
  <c r="M85" i="1" s="1"/>
  <c r="H6" i="1"/>
  <c r="C85" i="1" s="1"/>
  <c r="D85" i="1" s="1"/>
  <c r="G6" i="1"/>
  <c r="T55" i="1" s="1"/>
  <c r="U55" i="1" s="1"/>
  <c r="S63" i="1" s="1"/>
  <c r="F6" i="1"/>
  <c r="L55" i="1" s="1"/>
  <c r="M55" i="1" s="1"/>
  <c r="E6" i="1"/>
  <c r="C55" i="1" s="1"/>
  <c r="D55" i="1" s="1"/>
  <c r="D6" i="1"/>
  <c r="T21" i="1" s="1"/>
  <c r="U21" i="1" s="1"/>
  <c r="R29" i="1" s="1"/>
  <c r="T29" i="1" s="1"/>
  <c r="C6" i="1"/>
  <c r="L21" i="1" s="1"/>
  <c r="M21" i="1" s="1"/>
  <c r="B6" i="1"/>
  <c r="C21" i="1" s="1"/>
  <c r="A6" i="1"/>
  <c r="J5" i="1"/>
  <c r="T84" i="1" s="1"/>
  <c r="U84" i="1" s="1"/>
  <c r="I5" i="1"/>
  <c r="L84" i="1" s="1"/>
  <c r="M84" i="1" s="1"/>
  <c r="H5" i="1"/>
  <c r="C84" i="1" s="1"/>
  <c r="D84" i="1" s="1"/>
  <c r="G5" i="1"/>
  <c r="T54" i="1" s="1"/>
  <c r="U54" i="1" s="1"/>
  <c r="F5" i="1"/>
  <c r="L54" i="1" s="1"/>
  <c r="M54" i="1" s="1"/>
  <c r="E5" i="1"/>
  <c r="C54" i="1" s="1"/>
  <c r="D54" i="1" s="1"/>
  <c r="D5" i="1"/>
  <c r="T20" i="1" s="1"/>
  <c r="U20" i="1" s="1"/>
  <c r="C5" i="1"/>
  <c r="L20" i="1" s="1"/>
  <c r="M20" i="1" s="1"/>
  <c r="B5" i="1"/>
  <c r="C20" i="1" s="1"/>
  <c r="A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  <c r="H2" i="1"/>
  <c r="E2" i="1"/>
  <c r="B2" i="1"/>
  <c r="A2" i="1"/>
  <c r="A1" i="1"/>
  <c r="P33" i="6" l="1"/>
  <c r="R33" i="6" s="1"/>
  <c r="E109" i="2" s="1"/>
  <c r="B103" i="6"/>
  <c r="D63" i="8"/>
  <c r="A58" i="3"/>
  <c r="C58" i="3" s="1"/>
  <c r="F101" i="1" s="1"/>
  <c r="I33" i="5"/>
  <c r="K33" i="5" s="1"/>
  <c r="D106" i="1" s="1"/>
  <c r="AD20" i="8"/>
  <c r="AE24" i="8"/>
  <c r="K106" i="1"/>
  <c r="H109" i="2"/>
  <c r="E20" i="8"/>
  <c r="D20" i="8"/>
  <c r="H20" i="8"/>
  <c r="C46" i="8" s="1"/>
  <c r="U61" i="8"/>
  <c r="D88" i="8" s="1"/>
  <c r="R61" i="8"/>
  <c r="Q61" i="8"/>
  <c r="H102" i="8"/>
  <c r="D130" i="8" s="1"/>
  <c r="D102" i="8"/>
  <c r="U63" i="8"/>
  <c r="D90" i="8" s="1"/>
  <c r="Q63" i="8"/>
  <c r="AI103" i="8"/>
  <c r="F131" i="8" s="1"/>
  <c r="AF103" i="8"/>
  <c r="AE103" i="8"/>
  <c r="AH23" i="8"/>
  <c r="E49" i="8" s="1"/>
  <c r="AE23" i="8"/>
  <c r="AD23" i="8"/>
  <c r="H104" i="8"/>
  <c r="D132" i="8" s="1"/>
  <c r="D104" i="8"/>
  <c r="E104" i="8"/>
  <c r="H24" i="8"/>
  <c r="C50" i="8" s="1"/>
  <c r="D24" i="8"/>
  <c r="E24" i="8"/>
  <c r="U65" i="8"/>
  <c r="D92" i="8" s="1"/>
  <c r="R65" i="8"/>
  <c r="Q65" i="8"/>
  <c r="H106" i="8"/>
  <c r="D134" i="8" s="1"/>
  <c r="D106" i="8"/>
  <c r="U102" i="8"/>
  <c r="E130" i="8" s="1"/>
  <c r="R102" i="8"/>
  <c r="Q102" i="8"/>
  <c r="U22" i="8"/>
  <c r="D48" i="8" s="1"/>
  <c r="R22" i="8"/>
  <c r="Q22" i="8"/>
  <c r="AI63" i="8"/>
  <c r="E90" i="8" s="1"/>
  <c r="AF63" i="8"/>
  <c r="AE63" i="8"/>
  <c r="H64" i="8"/>
  <c r="C91" i="8" s="1"/>
  <c r="E64" i="8"/>
  <c r="B73" i="8"/>
  <c r="D64" i="8"/>
  <c r="H66" i="8"/>
  <c r="C93" i="8" s="1"/>
  <c r="D66" i="8"/>
  <c r="B75" i="8"/>
  <c r="Q106" i="8"/>
  <c r="R106" i="8"/>
  <c r="E102" i="8"/>
  <c r="U24" i="8"/>
  <c r="D50" i="8" s="1"/>
  <c r="AE105" i="8"/>
  <c r="K133" i="8" s="1"/>
  <c r="H62" i="8"/>
  <c r="C89" i="8" s="1"/>
  <c r="AD25" i="8"/>
  <c r="AF25" i="8" s="1"/>
  <c r="Q20" i="8"/>
  <c r="Q31" i="8" s="1"/>
  <c r="AF61" i="8"/>
  <c r="D22" i="8"/>
  <c r="H48" i="8" s="1"/>
  <c r="H101" i="8"/>
  <c r="D129" i="8" s="1"/>
  <c r="E101" i="8"/>
  <c r="D101" i="8"/>
  <c r="H21" i="8"/>
  <c r="C47" i="8" s="1"/>
  <c r="E21" i="8"/>
  <c r="D21" i="8"/>
  <c r="U62" i="8"/>
  <c r="D89" i="8" s="1"/>
  <c r="Q62" i="8"/>
  <c r="R62" i="8"/>
  <c r="AI102" i="8"/>
  <c r="F130" i="8" s="1"/>
  <c r="AF102" i="8"/>
  <c r="AE102" i="8"/>
  <c r="AH22" i="8"/>
  <c r="E48" i="8" s="1"/>
  <c r="AE22" i="8"/>
  <c r="AD22" i="8"/>
  <c r="AI104" i="8"/>
  <c r="F132" i="8" s="1"/>
  <c r="AE104" i="8"/>
  <c r="H105" i="8"/>
  <c r="D133" i="8" s="1"/>
  <c r="E105" i="8"/>
  <c r="D105" i="8"/>
  <c r="H25" i="8"/>
  <c r="C51" i="8" s="1"/>
  <c r="E25" i="8"/>
  <c r="D25" i="8"/>
  <c r="U66" i="8"/>
  <c r="D93" i="8" s="1"/>
  <c r="R66" i="8"/>
  <c r="Q66" i="8"/>
  <c r="AF106" i="8"/>
  <c r="AE106" i="8"/>
  <c r="U106" i="8"/>
  <c r="E134" i="8" s="1"/>
  <c r="AI106" i="8"/>
  <c r="F134" i="8" s="1"/>
  <c r="E63" i="8"/>
  <c r="Q64" i="8"/>
  <c r="I91" i="8" s="1"/>
  <c r="H23" i="8"/>
  <c r="C49" i="8" s="1"/>
  <c r="AF105" i="8"/>
  <c r="AC122" i="8" s="1"/>
  <c r="AI61" i="8"/>
  <c r="E88" i="8" s="1"/>
  <c r="Q24" i="8"/>
  <c r="I50" i="8" s="1"/>
  <c r="AH25" i="8"/>
  <c r="E51" i="8" s="1"/>
  <c r="Q104" i="8"/>
  <c r="S104" i="8" s="1"/>
  <c r="E62" i="8"/>
  <c r="AH24" i="8"/>
  <c r="E50" i="8" s="1"/>
  <c r="R23" i="8"/>
  <c r="Q103" i="6"/>
  <c r="H61" i="8"/>
  <c r="C88" i="8" s="1"/>
  <c r="B70" i="8"/>
  <c r="E61" i="8"/>
  <c r="D61" i="8"/>
  <c r="U101" i="8"/>
  <c r="E129" i="8" s="1"/>
  <c r="R101" i="8"/>
  <c r="Q101" i="8"/>
  <c r="U21" i="8"/>
  <c r="D47" i="8" s="1"/>
  <c r="Q21" i="8"/>
  <c r="R21" i="8"/>
  <c r="AI62" i="8"/>
  <c r="E89" i="8" s="1"/>
  <c r="AE62" i="8"/>
  <c r="AD82" i="8" s="1"/>
  <c r="AF62" i="8"/>
  <c r="U103" i="8"/>
  <c r="E131" i="8" s="1"/>
  <c r="Q103" i="8"/>
  <c r="AI64" i="8"/>
  <c r="E91" i="8" s="1"/>
  <c r="AE64" i="8"/>
  <c r="B74" i="8"/>
  <c r="D65" i="8"/>
  <c r="E65" i="8"/>
  <c r="U105" i="8"/>
  <c r="E133" i="8" s="1"/>
  <c r="Q105" i="8"/>
  <c r="R105" i="8"/>
  <c r="U25" i="8"/>
  <c r="D51" i="8" s="1"/>
  <c r="R25" i="8"/>
  <c r="Q25" i="8"/>
  <c r="AI66" i="8"/>
  <c r="E93" i="8" s="1"/>
  <c r="AF66" i="8"/>
  <c r="AE66" i="8"/>
  <c r="I58" i="3"/>
  <c r="K58" i="3" s="1"/>
  <c r="G101" i="1" s="1"/>
  <c r="Q87" i="3"/>
  <c r="S87" i="3" s="1"/>
  <c r="K101" i="1" s="1"/>
  <c r="P33" i="5"/>
  <c r="R33" i="5" s="1"/>
  <c r="E106" i="1" s="1"/>
  <c r="E106" i="8"/>
  <c r="R103" i="8"/>
  <c r="E66" i="8"/>
  <c r="R63" i="8"/>
  <c r="D103" i="8"/>
  <c r="K103" i="8" s="1"/>
  <c r="B72" i="8"/>
  <c r="R64" i="8"/>
  <c r="AH21" i="8"/>
  <c r="E47" i="8" s="1"/>
  <c r="AE101" i="8"/>
  <c r="K129" i="8" s="1"/>
  <c r="AE65" i="8"/>
  <c r="J92" i="8" s="1"/>
  <c r="D23" i="8"/>
  <c r="H49" i="8" s="1"/>
  <c r="R104" i="8"/>
  <c r="B71" i="8"/>
  <c r="U23" i="8"/>
  <c r="D49" i="8" s="1"/>
  <c r="H65" i="8"/>
  <c r="C92" i="8" s="1"/>
  <c r="E103" i="8"/>
  <c r="U20" i="8"/>
  <c r="D46" i="8" s="1"/>
  <c r="AF101" i="8"/>
  <c r="AF65" i="8"/>
  <c r="AD21" i="8"/>
  <c r="AF21" i="8" s="1"/>
  <c r="AE20" i="8"/>
  <c r="H22" i="8"/>
  <c r="C48" i="8" s="1"/>
  <c r="K23" i="8"/>
  <c r="S23" i="8"/>
  <c r="I49" i="8"/>
  <c r="X23" i="8"/>
  <c r="F103" i="8"/>
  <c r="X64" i="8"/>
  <c r="AG105" i="8"/>
  <c r="AL105" i="8"/>
  <c r="AK25" i="8"/>
  <c r="S20" i="8"/>
  <c r="AL61" i="8"/>
  <c r="J88" i="8"/>
  <c r="AG61" i="8"/>
  <c r="F22" i="8"/>
  <c r="H90" i="8"/>
  <c r="K63" i="8"/>
  <c r="F63" i="8"/>
  <c r="AG101" i="8"/>
  <c r="AK21" i="8"/>
  <c r="J46" i="8"/>
  <c r="AF20" i="8"/>
  <c r="AK20" i="8"/>
  <c r="H89" i="8"/>
  <c r="F62" i="8"/>
  <c r="K62" i="8"/>
  <c r="D72" i="8"/>
  <c r="X24" i="8"/>
  <c r="X104" i="8"/>
  <c r="J50" i="8"/>
  <c r="AF24" i="8"/>
  <c r="AK24" i="8"/>
  <c r="R22" i="7"/>
  <c r="U22" i="7"/>
  <c r="D48" i="7" s="1"/>
  <c r="D64" i="7"/>
  <c r="H91" i="7" s="1"/>
  <c r="H64" i="7"/>
  <c r="C91" i="7" s="1"/>
  <c r="R24" i="7"/>
  <c r="U24" i="7"/>
  <c r="D50" i="7" s="1"/>
  <c r="R106" i="7"/>
  <c r="U106" i="7"/>
  <c r="E134" i="7" s="1"/>
  <c r="A30" i="3"/>
  <c r="C30" i="3" s="1"/>
  <c r="C101" i="1" s="1"/>
  <c r="E101" i="7"/>
  <c r="H101" i="7"/>
  <c r="D129" i="7" s="1"/>
  <c r="AF102" i="7"/>
  <c r="AI102" i="7"/>
  <c r="F130" i="7" s="1"/>
  <c r="R64" i="7"/>
  <c r="U64" i="7"/>
  <c r="D91" i="7" s="1"/>
  <c r="AE24" i="7"/>
  <c r="AH24" i="7"/>
  <c r="E50" i="7" s="1"/>
  <c r="R66" i="7"/>
  <c r="U66" i="7"/>
  <c r="D93" i="7" s="1"/>
  <c r="R20" i="7"/>
  <c r="U20" i="7"/>
  <c r="D46" i="7" s="1"/>
  <c r="AE20" i="7"/>
  <c r="AH20" i="7"/>
  <c r="E46" i="7" s="1"/>
  <c r="R62" i="7"/>
  <c r="U62" i="7"/>
  <c r="D89" i="7" s="1"/>
  <c r="E103" i="7"/>
  <c r="H103" i="7"/>
  <c r="D131" i="7" s="1"/>
  <c r="E105" i="7"/>
  <c r="H105" i="7"/>
  <c r="D133" i="7" s="1"/>
  <c r="S29" i="2"/>
  <c r="B93" i="2"/>
  <c r="B29" i="4"/>
  <c r="J57" i="4"/>
  <c r="Q86" i="4"/>
  <c r="S86" i="4" s="1"/>
  <c r="K104" i="2" s="1"/>
  <c r="A65" i="6"/>
  <c r="C65" i="6" s="1"/>
  <c r="J103" i="6"/>
  <c r="B65" i="5"/>
  <c r="I103" i="5"/>
  <c r="K103" i="5" s="1"/>
  <c r="J106" i="1" s="1"/>
  <c r="R101" i="7"/>
  <c r="U101" i="7"/>
  <c r="E129" i="7" s="1"/>
  <c r="R21" i="7"/>
  <c r="U21" i="7"/>
  <c r="D47" i="7" s="1"/>
  <c r="R103" i="7"/>
  <c r="U103" i="7"/>
  <c r="E131" i="7" s="1"/>
  <c r="R23" i="7"/>
  <c r="U23" i="7"/>
  <c r="D49" i="7" s="1"/>
  <c r="R105" i="7"/>
  <c r="U105" i="7"/>
  <c r="E133" i="7" s="1"/>
  <c r="R25" i="7"/>
  <c r="U25" i="7"/>
  <c r="D51" i="7" s="1"/>
  <c r="AF61" i="7"/>
  <c r="AI61" i="7"/>
  <c r="E88" i="7" s="1"/>
  <c r="R102" i="7"/>
  <c r="U102" i="7"/>
  <c r="E130" i="7" s="1"/>
  <c r="R104" i="7"/>
  <c r="U104" i="7"/>
  <c r="E132" i="7" s="1"/>
  <c r="D21" i="7"/>
  <c r="H47" i="7" s="1"/>
  <c r="H21" i="7"/>
  <c r="C47" i="7" s="1"/>
  <c r="AE22" i="7"/>
  <c r="AH22" i="7"/>
  <c r="E48" i="7" s="1"/>
  <c r="D23" i="7"/>
  <c r="H49" i="7" s="1"/>
  <c r="H23" i="7"/>
  <c r="C49" i="7" s="1"/>
  <c r="AF104" i="7"/>
  <c r="AI104" i="7"/>
  <c r="F132" i="7" s="1"/>
  <c r="D25" i="7"/>
  <c r="F25" i="7" s="1"/>
  <c r="H25" i="7"/>
  <c r="C51" i="7" s="1"/>
  <c r="AF106" i="7"/>
  <c r="AI106" i="7"/>
  <c r="F134" i="7" s="1"/>
  <c r="K63" i="1"/>
  <c r="A63" i="2"/>
  <c r="C63" i="2" s="1"/>
  <c r="F113" i="2" s="1"/>
  <c r="J93" i="2"/>
  <c r="L93" i="2" s="1"/>
  <c r="J113" i="2" s="1"/>
  <c r="R57" i="4"/>
  <c r="A33" i="6"/>
  <c r="C33" i="6" s="1"/>
  <c r="C109" i="2" s="1"/>
  <c r="I65" i="6"/>
  <c r="K65" i="6" s="1"/>
  <c r="G109" i="2" s="1"/>
  <c r="A87" i="3"/>
  <c r="C87" i="3" s="1"/>
  <c r="I101" i="1" s="1"/>
  <c r="I65" i="5"/>
  <c r="K65" i="5" s="1"/>
  <c r="G106" i="1" s="1"/>
  <c r="P103" i="5"/>
  <c r="R103" i="5" s="1"/>
  <c r="D20" i="7"/>
  <c r="H20" i="7"/>
  <c r="C46" i="7" s="1"/>
  <c r="R61" i="7"/>
  <c r="U61" i="7"/>
  <c r="D88" i="7" s="1"/>
  <c r="AF101" i="7"/>
  <c r="AI101" i="7"/>
  <c r="F129" i="7" s="1"/>
  <c r="AE21" i="7"/>
  <c r="AH21" i="7"/>
  <c r="E47" i="7" s="1"/>
  <c r="E102" i="7"/>
  <c r="H102" i="7"/>
  <c r="D130" i="7" s="1"/>
  <c r="D22" i="7"/>
  <c r="H48" i="7" s="1"/>
  <c r="H22" i="7"/>
  <c r="C48" i="7" s="1"/>
  <c r="R63" i="7"/>
  <c r="U63" i="7"/>
  <c r="D90" i="7" s="1"/>
  <c r="AF103" i="7"/>
  <c r="AI103" i="7"/>
  <c r="F131" i="7" s="1"/>
  <c r="AE23" i="7"/>
  <c r="AH23" i="7"/>
  <c r="E49" i="7" s="1"/>
  <c r="E104" i="7"/>
  <c r="H104" i="7"/>
  <c r="D132" i="7" s="1"/>
  <c r="D24" i="7"/>
  <c r="H24" i="7"/>
  <c r="C50" i="7" s="1"/>
  <c r="R65" i="7"/>
  <c r="U65" i="7"/>
  <c r="D92" i="7" s="1"/>
  <c r="AF105" i="7"/>
  <c r="AI105" i="7"/>
  <c r="F133" i="7" s="1"/>
  <c r="AE25" i="7"/>
  <c r="AH25" i="7"/>
  <c r="E51" i="7" s="1"/>
  <c r="E106" i="7"/>
  <c r="H106" i="7"/>
  <c r="D134" i="7" s="1"/>
  <c r="AE103" i="7"/>
  <c r="K131" i="7" s="1"/>
  <c r="Q63" i="7"/>
  <c r="X63" i="7" s="1"/>
  <c r="Q22" i="7"/>
  <c r="D103" i="7"/>
  <c r="Q62" i="7"/>
  <c r="I89" i="7" s="1"/>
  <c r="AE102" i="7"/>
  <c r="K130" i="7" s="1"/>
  <c r="Q104" i="7"/>
  <c r="AE61" i="7"/>
  <c r="J88" i="7" s="1"/>
  <c r="AD22" i="7"/>
  <c r="Q66" i="7"/>
  <c r="I93" i="7" s="1"/>
  <c r="AE106" i="7"/>
  <c r="A63" i="1"/>
  <c r="C63" i="1" s="1"/>
  <c r="F110" i="1" s="1"/>
  <c r="J93" i="1"/>
  <c r="L93" i="1" s="1"/>
  <c r="Q58" i="3"/>
  <c r="S58" i="3" s="1"/>
  <c r="H101" i="1" s="1"/>
  <c r="B70" i="7"/>
  <c r="E61" i="7"/>
  <c r="AF62" i="7"/>
  <c r="AE62" i="7"/>
  <c r="J89" i="7" s="1"/>
  <c r="B72" i="7"/>
  <c r="E63" i="7"/>
  <c r="AE64" i="7"/>
  <c r="AF64" i="7"/>
  <c r="B74" i="7"/>
  <c r="E65" i="7"/>
  <c r="AF66" i="7"/>
  <c r="AE66" i="7"/>
  <c r="J93" i="7" s="1"/>
  <c r="Q23" i="7"/>
  <c r="D65" i="7"/>
  <c r="H92" i="7" s="1"/>
  <c r="Q105" i="7"/>
  <c r="J133" i="7" s="1"/>
  <c r="Q101" i="7"/>
  <c r="J129" i="7" s="1"/>
  <c r="K24" i="7"/>
  <c r="AD25" i="7"/>
  <c r="AD21" i="7"/>
  <c r="J47" i="7" s="1"/>
  <c r="D106" i="7"/>
  <c r="D102" i="7"/>
  <c r="I130" i="7" s="1"/>
  <c r="P66" i="5"/>
  <c r="R66" i="5" s="1"/>
  <c r="H106" i="1" s="1"/>
  <c r="E62" i="7"/>
  <c r="B71" i="7"/>
  <c r="AE63" i="7"/>
  <c r="J90" i="7" s="1"/>
  <c r="AF63" i="7"/>
  <c r="E64" i="7"/>
  <c r="B73" i="7"/>
  <c r="AE65" i="7"/>
  <c r="J92" i="7" s="1"/>
  <c r="AF65" i="7"/>
  <c r="E66" i="7"/>
  <c r="B75" i="7"/>
  <c r="E25" i="7"/>
  <c r="Q25" i="7"/>
  <c r="S25" i="7" s="1"/>
  <c r="Q21" i="7"/>
  <c r="S21" i="7" s="1"/>
  <c r="AD24" i="7"/>
  <c r="AD20" i="7"/>
  <c r="J46" i="7" s="1"/>
  <c r="D63" i="7"/>
  <c r="D105" i="7"/>
  <c r="I133" i="7" s="1"/>
  <c r="D101" i="7"/>
  <c r="I129" i="7" s="1"/>
  <c r="Q103" i="7"/>
  <c r="J131" i="7" s="1"/>
  <c r="Q65" i="7"/>
  <c r="Q61" i="7"/>
  <c r="I88" i="7" s="1"/>
  <c r="AE105" i="7"/>
  <c r="AE101" i="7"/>
  <c r="K129" i="7" s="1"/>
  <c r="A93" i="1"/>
  <c r="C93" i="1" s="1"/>
  <c r="I110" i="1" s="1"/>
  <c r="R63" i="2"/>
  <c r="T63" i="2" s="1"/>
  <c r="H113" i="2" s="1"/>
  <c r="B57" i="4"/>
  <c r="A103" i="5"/>
  <c r="C103" i="5" s="1"/>
  <c r="I106" i="1" s="1"/>
  <c r="E24" i="7"/>
  <c r="Q24" i="7"/>
  <c r="S24" i="7" s="1"/>
  <c r="Q20" i="7"/>
  <c r="AD23" i="7"/>
  <c r="J49" i="7" s="1"/>
  <c r="D66" i="7"/>
  <c r="F66" i="7" s="1"/>
  <c r="D62" i="7"/>
  <c r="H89" i="7" s="1"/>
  <c r="D104" i="7"/>
  <c r="Q106" i="7"/>
  <c r="J134" i="7" s="1"/>
  <c r="Q102" i="7"/>
  <c r="Q64" i="7"/>
  <c r="I91" i="7" s="1"/>
  <c r="AE104" i="7"/>
  <c r="AL103" i="7"/>
  <c r="AL61" i="7"/>
  <c r="X66" i="7"/>
  <c r="X61" i="7"/>
  <c r="X106" i="7"/>
  <c r="S105" i="7"/>
  <c r="X103" i="7"/>
  <c r="F102" i="7"/>
  <c r="F105" i="7"/>
  <c r="K101" i="7"/>
  <c r="K65" i="7"/>
  <c r="K64" i="7"/>
  <c r="K62" i="7"/>
  <c r="AK20" i="7"/>
  <c r="S22" i="7"/>
  <c r="E23" i="7"/>
  <c r="E21" i="7"/>
  <c r="E22" i="7"/>
  <c r="E20" i="7"/>
  <c r="C28" i="5"/>
  <c r="D28" i="5" s="1"/>
  <c r="A33" i="5" s="1"/>
  <c r="C33" i="5" s="1"/>
  <c r="C106" i="1" s="1"/>
  <c r="B63" i="1"/>
  <c r="J63" i="1"/>
  <c r="L63" i="1" s="1"/>
  <c r="G110" i="1" s="1"/>
  <c r="B93" i="1"/>
  <c r="D93" i="1" s="1"/>
  <c r="K93" i="1"/>
  <c r="R63" i="1"/>
  <c r="T63" i="1" s="1"/>
  <c r="S63" i="2"/>
  <c r="J29" i="2"/>
  <c r="L29" i="2" s="1"/>
  <c r="A93" i="2"/>
  <c r="C93" i="2" s="1"/>
  <c r="I113" i="2" s="1"/>
  <c r="B29" i="2"/>
  <c r="D29" i="2" s="1"/>
  <c r="S93" i="2"/>
  <c r="U93" i="2" s="1"/>
  <c r="K114" i="2" s="1"/>
  <c r="K63" i="2"/>
  <c r="M63" i="2" s="1"/>
  <c r="N57" i="2" s="1"/>
  <c r="R29" i="2"/>
  <c r="T29" i="2" s="1"/>
  <c r="E113" i="2" s="1"/>
  <c r="B30" i="3"/>
  <c r="R30" i="3"/>
  <c r="T30" i="3" s="1"/>
  <c r="J58" i="3"/>
  <c r="B87" i="3"/>
  <c r="R87" i="3"/>
  <c r="R86" i="4"/>
  <c r="T86" i="4" s="1"/>
  <c r="K103" i="2" s="1"/>
  <c r="I57" i="4"/>
  <c r="K57" i="4" s="1"/>
  <c r="Q29" i="4"/>
  <c r="S29" i="4" s="1"/>
  <c r="Q57" i="4"/>
  <c r="S57" i="4" s="1"/>
  <c r="A57" i="4"/>
  <c r="C57" i="4" s="1"/>
  <c r="F104" i="2" s="1"/>
  <c r="Q33" i="5"/>
  <c r="Q66" i="5"/>
  <c r="J65" i="5"/>
  <c r="A65" i="5"/>
  <c r="C65" i="5" s="1"/>
  <c r="B103" i="5"/>
  <c r="J103" i="5"/>
  <c r="Q103" i="5"/>
  <c r="Q33" i="6"/>
  <c r="S33" i="6" s="1"/>
  <c r="E108" i="2" s="1"/>
  <c r="B33" i="6"/>
  <c r="I103" i="6"/>
  <c r="K103" i="6" s="1"/>
  <c r="J109" i="2" s="1"/>
  <c r="Q66" i="6"/>
  <c r="S66" i="6" s="1"/>
  <c r="J65" i="6"/>
  <c r="L65" i="6" s="1"/>
  <c r="G108" i="2" s="1"/>
  <c r="P103" i="6"/>
  <c r="R103" i="6" s="1"/>
  <c r="K109" i="2" s="1"/>
  <c r="A103" i="6"/>
  <c r="C103" i="6" s="1"/>
  <c r="I109" i="2" s="1"/>
  <c r="B65" i="6"/>
  <c r="D65" i="6" s="1"/>
  <c r="F108" i="2" s="1"/>
  <c r="T89" i="1"/>
  <c r="U89" i="1" s="1"/>
  <c r="R93" i="1" s="1"/>
  <c r="T93" i="1" s="1"/>
  <c r="K110" i="1" s="1"/>
  <c r="K82" i="4"/>
  <c r="L82" i="4" s="1"/>
  <c r="I86" i="4" s="1"/>
  <c r="K86" i="4" s="1"/>
  <c r="J104" i="2" s="1"/>
  <c r="J29" i="4"/>
  <c r="K83" i="3"/>
  <c r="L83" i="3" s="1"/>
  <c r="I87" i="3" s="1"/>
  <c r="K87" i="3" s="1"/>
  <c r="J101" i="1" s="1"/>
  <c r="I26" i="3"/>
  <c r="M26" i="3" s="1"/>
  <c r="A29" i="4"/>
  <c r="C29" i="4" s="1"/>
  <c r="C104" i="2" s="1"/>
  <c r="K93" i="2"/>
  <c r="B63" i="2"/>
  <c r="J30" i="3"/>
  <c r="L30" i="3" s="1"/>
  <c r="B58" i="3"/>
  <c r="R58" i="3"/>
  <c r="T58" i="3" s="1"/>
  <c r="H100" i="1" s="1"/>
  <c r="J87" i="3"/>
  <c r="B86" i="4"/>
  <c r="D86" i="4" s="1"/>
  <c r="I103" i="2" s="1"/>
  <c r="J33" i="5"/>
  <c r="L33" i="5" s="1"/>
  <c r="D105" i="1" s="1"/>
  <c r="J33" i="6"/>
  <c r="L33" i="6" s="1"/>
  <c r="D108" i="2" s="1"/>
  <c r="V89" i="2"/>
  <c r="N54" i="2"/>
  <c r="D20" i="1"/>
  <c r="K29" i="1"/>
  <c r="M29" i="1" s="1"/>
  <c r="N23" i="1" s="1"/>
  <c r="S29" i="1"/>
  <c r="U29" i="1" s="1"/>
  <c r="V21" i="1" s="1"/>
  <c r="D23" i="1"/>
  <c r="D21" i="1"/>
  <c r="D25" i="1"/>
  <c r="D22" i="1"/>
  <c r="D24" i="1"/>
  <c r="D58" i="3" l="1"/>
  <c r="F100" i="1" s="1"/>
  <c r="D33" i="6"/>
  <c r="C108" i="2" s="1"/>
  <c r="S33" i="5"/>
  <c r="E105" i="1" s="1"/>
  <c r="AF21" i="7"/>
  <c r="K105" i="7"/>
  <c r="X105" i="7"/>
  <c r="S64" i="7"/>
  <c r="J132" i="8"/>
  <c r="J47" i="8"/>
  <c r="I46" i="8"/>
  <c r="P82" i="8"/>
  <c r="AB41" i="8"/>
  <c r="U63" i="2"/>
  <c r="AK21" i="7"/>
  <c r="X64" i="7"/>
  <c r="X20" i="8"/>
  <c r="B33" i="5"/>
  <c r="D103" i="6"/>
  <c r="I108" i="2" s="1"/>
  <c r="F62" i="7"/>
  <c r="S61" i="7"/>
  <c r="S66" i="7"/>
  <c r="L103" i="6"/>
  <c r="J108" i="2" s="1"/>
  <c r="AD31" i="8"/>
  <c r="J51" i="8"/>
  <c r="AC82" i="8"/>
  <c r="P122" i="8"/>
  <c r="O41" i="8"/>
  <c r="O122" i="8"/>
  <c r="B41" i="8"/>
  <c r="N58" i="2"/>
  <c r="S103" i="5"/>
  <c r="T87" i="3"/>
  <c r="K100" i="1" s="1"/>
  <c r="D30" i="3"/>
  <c r="C100" i="1" s="1"/>
  <c r="D93" i="2"/>
  <c r="F23" i="8"/>
  <c r="AC41" i="8"/>
  <c r="C82" i="8"/>
  <c r="M93" i="1"/>
  <c r="J111" i="1" s="1"/>
  <c r="AK23" i="7"/>
  <c r="E89" i="2"/>
  <c r="I114" i="2"/>
  <c r="E84" i="2"/>
  <c r="E85" i="2"/>
  <c r="E88" i="2"/>
  <c r="D65" i="5"/>
  <c r="F105" i="1" s="1"/>
  <c r="F106" i="1"/>
  <c r="F109" i="2"/>
  <c r="X105" i="8"/>
  <c r="S105" i="8"/>
  <c r="J133" i="8"/>
  <c r="I133" i="8"/>
  <c r="K105" i="8"/>
  <c r="F105" i="8"/>
  <c r="K130" i="8"/>
  <c r="AL102" i="8"/>
  <c r="AG102" i="8"/>
  <c r="I48" i="8"/>
  <c r="S22" i="8"/>
  <c r="X22" i="8"/>
  <c r="X32" i="8" s="1"/>
  <c r="V56" i="2"/>
  <c r="H108" i="2"/>
  <c r="K105" i="1"/>
  <c r="L65" i="5"/>
  <c r="G105" i="1" s="1"/>
  <c r="E24" i="2"/>
  <c r="C114" i="2"/>
  <c r="K102" i="7"/>
  <c r="S62" i="7"/>
  <c r="AG101" i="7"/>
  <c r="AL104" i="7"/>
  <c r="K132" i="7"/>
  <c r="K104" i="7"/>
  <c r="I132" i="7"/>
  <c r="X20" i="7"/>
  <c r="I46" i="7"/>
  <c r="AG105" i="7"/>
  <c r="K133" i="7"/>
  <c r="AF24" i="7"/>
  <c r="J50" i="7"/>
  <c r="K106" i="7"/>
  <c r="I134" i="7"/>
  <c r="X23" i="7"/>
  <c r="I49" i="7"/>
  <c r="AL106" i="7"/>
  <c r="K134" i="7"/>
  <c r="K103" i="7"/>
  <c r="I131" i="7"/>
  <c r="C122" i="8"/>
  <c r="AL65" i="8"/>
  <c r="J93" i="8"/>
  <c r="AL66" i="8"/>
  <c r="AG66" i="8"/>
  <c r="AG64" i="8"/>
  <c r="J91" i="8"/>
  <c r="AL64" i="8"/>
  <c r="I47" i="8"/>
  <c r="S21" i="8"/>
  <c r="X21" i="8"/>
  <c r="H51" i="8"/>
  <c r="K25" i="8"/>
  <c r="F25" i="8"/>
  <c r="J48" i="8"/>
  <c r="AK22" i="8"/>
  <c r="AF22" i="8"/>
  <c r="K101" i="8"/>
  <c r="F101" i="8"/>
  <c r="I129" i="8"/>
  <c r="B122" i="8"/>
  <c r="X106" i="8"/>
  <c r="J134" i="8"/>
  <c r="S106" i="8"/>
  <c r="H91" i="8"/>
  <c r="F64" i="8"/>
  <c r="K64" i="8"/>
  <c r="J90" i="8"/>
  <c r="AL63" i="8"/>
  <c r="AG63" i="8"/>
  <c r="AK23" i="8"/>
  <c r="AF23" i="8"/>
  <c r="J49" i="8"/>
  <c r="V85" i="2"/>
  <c r="V86" i="2"/>
  <c r="V58" i="2"/>
  <c r="M93" i="2"/>
  <c r="N88" i="2" s="1"/>
  <c r="D72" i="7"/>
  <c r="F106" i="7"/>
  <c r="X62" i="7"/>
  <c r="AL101" i="7"/>
  <c r="X24" i="7"/>
  <c r="I50" i="7"/>
  <c r="X21" i="7"/>
  <c r="I47" i="7"/>
  <c r="X22" i="7"/>
  <c r="I48" i="7"/>
  <c r="F24" i="7"/>
  <c r="H50" i="7"/>
  <c r="F20" i="7"/>
  <c r="H46" i="7"/>
  <c r="U29" i="2"/>
  <c r="E114" i="2" s="1"/>
  <c r="S24" i="8"/>
  <c r="D112" i="8"/>
  <c r="AL101" i="8"/>
  <c r="AD122" i="8"/>
  <c r="P41" i="8"/>
  <c r="K22" i="8"/>
  <c r="AG65" i="8"/>
  <c r="I131" i="8"/>
  <c r="O82" i="8"/>
  <c r="J89" i="8"/>
  <c r="AG62" i="8"/>
  <c r="AL62" i="8"/>
  <c r="H88" i="8"/>
  <c r="F61" i="8"/>
  <c r="K61" i="8"/>
  <c r="S103" i="6"/>
  <c r="K108" i="2" s="1"/>
  <c r="S66" i="8"/>
  <c r="I93" i="8"/>
  <c r="X66" i="8"/>
  <c r="H47" i="8"/>
  <c r="K21" i="8"/>
  <c r="F21" i="8"/>
  <c r="I134" i="8"/>
  <c r="K106" i="8"/>
  <c r="F106" i="8"/>
  <c r="I51" i="8"/>
  <c r="X25" i="8"/>
  <c r="S25" i="8"/>
  <c r="K134" i="8"/>
  <c r="AG106" i="8"/>
  <c r="AL106" i="8"/>
  <c r="S62" i="8"/>
  <c r="X62" i="8"/>
  <c r="I89" i="8"/>
  <c r="I92" i="8"/>
  <c r="S65" i="8"/>
  <c r="X65" i="8"/>
  <c r="F24" i="8"/>
  <c r="K24" i="8"/>
  <c r="H50" i="8"/>
  <c r="K131" i="8"/>
  <c r="AL103" i="8"/>
  <c r="AG103" i="8"/>
  <c r="V84" i="2"/>
  <c r="V57" i="2"/>
  <c r="T57" i="4"/>
  <c r="H103" i="2" s="1"/>
  <c r="H104" i="2"/>
  <c r="U63" i="1"/>
  <c r="H111" i="1" s="1"/>
  <c r="H110" i="1"/>
  <c r="X104" i="7"/>
  <c r="J132" i="7"/>
  <c r="D31" i="8"/>
  <c r="S64" i="8"/>
  <c r="K102" i="8"/>
  <c r="F102" i="8"/>
  <c r="I130" i="8"/>
  <c r="M63" i="1"/>
  <c r="G111" i="1" s="1"/>
  <c r="V87" i="2"/>
  <c r="V88" i="2"/>
  <c r="V59" i="2"/>
  <c r="D103" i="5"/>
  <c r="I105" i="1" s="1"/>
  <c r="L57" i="4"/>
  <c r="G103" i="2" s="1"/>
  <c r="G104" i="2"/>
  <c r="L58" i="3"/>
  <c r="G100" i="1" s="1"/>
  <c r="N59" i="2"/>
  <c r="G114" i="2"/>
  <c r="M29" i="2"/>
  <c r="D113" i="2"/>
  <c r="E87" i="1"/>
  <c r="I111" i="1"/>
  <c r="AF20" i="7"/>
  <c r="AF23" i="7"/>
  <c r="F64" i="7"/>
  <c r="F65" i="7"/>
  <c r="S103" i="7"/>
  <c r="S106" i="7"/>
  <c r="Q72" i="7"/>
  <c r="AG61" i="7"/>
  <c r="AG103" i="7"/>
  <c r="X102" i="7"/>
  <c r="J130" i="7"/>
  <c r="K66" i="7"/>
  <c r="H93" i="7"/>
  <c r="S65" i="7"/>
  <c r="I92" i="7"/>
  <c r="F63" i="7"/>
  <c r="H90" i="7"/>
  <c r="X25" i="7"/>
  <c r="I51" i="7"/>
  <c r="AK25" i="7"/>
  <c r="J51" i="7"/>
  <c r="K61" i="7"/>
  <c r="K73" i="7" s="1"/>
  <c r="AE72" i="7"/>
  <c r="J91" i="7"/>
  <c r="N87" i="1"/>
  <c r="J110" i="1"/>
  <c r="AK22" i="7"/>
  <c r="J48" i="7"/>
  <c r="S63" i="7"/>
  <c r="S72" i="7" s="1"/>
  <c r="Y73" i="7" s="1"/>
  <c r="I90" i="7"/>
  <c r="K25" i="7"/>
  <c r="H51" i="7"/>
  <c r="X113" i="8"/>
  <c r="B82" i="8"/>
  <c r="AE112" i="8"/>
  <c r="AE72" i="8"/>
  <c r="H92" i="8"/>
  <c r="K65" i="8"/>
  <c r="F65" i="8"/>
  <c r="X103" i="8"/>
  <c r="J131" i="8"/>
  <c r="S103" i="8"/>
  <c r="S101" i="8"/>
  <c r="X101" i="8"/>
  <c r="J129" i="8"/>
  <c r="Q112" i="8"/>
  <c r="AG104" i="8"/>
  <c r="AL104" i="8"/>
  <c r="K132" i="8"/>
  <c r="K66" i="8"/>
  <c r="H93" i="8"/>
  <c r="F66" i="8"/>
  <c r="J130" i="8"/>
  <c r="X102" i="8"/>
  <c r="S102" i="8"/>
  <c r="I132" i="8"/>
  <c r="K104" i="8"/>
  <c r="F104" i="8"/>
  <c r="X63" i="8"/>
  <c r="I90" i="8"/>
  <c r="S63" i="8"/>
  <c r="S61" i="8"/>
  <c r="X61" i="8"/>
  <c r="I88" i="8"/>
  <c r="Q72" i="8"/>
  <c r="H46" i="8"/>
  <c r="K20" i="8"/>
  <c r="F20" i="8"/>
  <c r="C41" i="8"/>
  <c r="T29" i="4"/>
  <c r="E103" i="2" s="1"/>
  <c r="E104" i="2"/>
  <c r="D63" i="1"/>
  <c r="F111" i="1" s="1"/>
  <c r="AK32" i="8"/>
  <c r="B122" i="7"/>
  <c r="Q112" i="7"/>
  <c r="N23" i="2"/>
  <c r="N55" i="2"/>
  <c r="N56" i="2"/>
  <c r="D63" i="2"/>
  <c r="L103" i="5"/>
  <c r="J105" i="1" s="1"/>
  <c r="S66" i="5"/>
  <c r="H105" i="1" s="1"/>
  <c r="D87" i="3"/>
  <c r="I100" i="1" s="1"/>
  <c r="S23" i="7"/>
  <c r="AK24" i="7"/>
  <c r="AK32" i="7" s="1"/>
  <c r="K63" i="7"/>
  <c r="F103" i="7"/>
  <c r="N85" i="2"/>
  <c r="D29" i="4"/>
  <c r="C103" i="2" s="1"/>
  <c r="E58" i="1"/>
  <c r="D57" i="4"/>
  <c r="F103" i="2" s="1"/>
  <c r="C82" i="7"/>
  <c r="S104" i="7"/>
  <c r="X65" i="7"/>
  <c r="S20" i="7"/>
  <c r="C122" i="7"/>
  <c r="S101" i="7"/>
  <c r="AL105" i="7"/>
  <c r="D112" i="7"/>
  <c r="F104" i="7"/>
  <c r="X101" i="7"/>
  <c r="AC122" i="7"/>
  <c r="AG106" i="7"/>
  <c r="AC82" i="7"/>
  <c r="AE112" i="7"/>
  <c r="AD31" i="7"/>
  <c r="F101" i="7"/>
  <c r="O82" i="7"/>
  <c r="P41" i="7"/>
  <c r="AB41" i="7"/>
  <c r="O122" i="7"/>
  <c r="AD82" i="7"/>
  <c r="AG102" i="7"/>
  <c r="Q31" i="7"/>
  <c r="AF22" i="7"/>
  <c r="AF25" i="7"/>
  <c r="F61" i="7"/>
  <c r="B82" i="7"/>
  <c r="S102" i="7"/>
  <c r="P82" i="7"/>
  <c r="AD122" i="7"/>
  <c r="AL102" i="7"/>
  <c r="B41" i="7"/>
  <c r="O41" i="7"/>
  <c r="AC41" i="7"/>
  <c r="P122" i="7"/>
  <c r="AG104" i="7"/>
  <c r="D33" i="5"/>
  <c r="C105" i="1" s="1"/>
  <c r="L87" i="3"/>
  <c r="J100" i="1" s="1"/>
  <c r="N86" i="1"/>
  <c r="AL66" i="7"/>
  <c r="AG66" i="7"/>
  <c r="AL62" i="7"/>
  <c r="AG62" i="7"/>
  <c r="AL65" i="7"/>
  <c r="AG65" i="7"/>
  <c r="AL63" i="7"/>
  <c r="AG63" i="7"/>
  <c r="AL64" i="7"/>
  <c r="AG64" i="7"/>
  <c r="K20" i="7"/>
  <c r="K23" i="7"/>
  <c r="F23" i="7"/>
  <c r="K22" i="7"/>
  <c r="F22" i="7"/>
  <c r="F21" i="7"/>
  <c r="D31" i="7"/>
  <c r="C41" i="7"/>
  <c r="M21" i="4"/>
  <c r="E24" i="4"/>
  <c r="U79" i="4"/>
  <c r="U23" i="4"/>
  <c r="M49" i="4"/>
  <c r="M79" i="4"/>
  <c r="E20" i="4"/>
  <c r="E49" i="4"/>
  <c r="U51" i="4"/>
  <c r="U82" i="4"/>
  <c r="M22" i="4"/>
  <c r="E53" i="4"/>
  <c r="E78" i="4"/>
  <c r="N85" i="1"/>
  <c r="E21" i="2"/>
  <c r="E22" i="2"/>
  <c r="N25" i="1"/>
  <c r="V22" i="1"/>
  <c r="V23" i="1"/>
  <c r="V20" i="1"/>
  <c r="S93" i="1"/>
  <c r="U93" i="1" s="1"/>
  <c r="I29" i="4"/>
  <c r="K29" i="4" s="1"/>
  <c r="D104" i="2" s="1"/>
  <c r="N88" i="1"/>
  <c r="E88" i="1"/>
  <c r="E89" i="1"/>
  <c r="E85" i="1"/>
  <c r="M77" i="4"/>
  <c r="U52" i="4"/>
  <c r="U21" i="4"/>
  <c r="M82" i="4"/>
  <c r="E51" i="4"/>
  <c r="M48" i="4"/>
  <c r="M81" i="4"/>
  <c r="U78" i="4"/>
  <c r="U48" i="4"/>
  <c r="E23" i="4"/>
  <c r="E79" i="4"/>
  <c r="M52" i="4"/>
  <c r="M23" i="4"/>
  <c r="U20" i="4"/>
  <c r="V59" i="1"/>
  <c r="V56" i="1"/>
  <c r="N54" i="1"/>
  <c r="N89" i="2"/>
  <c r="E25" i="2"/>
  <c r="V24" i="1"/>
  <c r="V25" i="1"/>
  <c r="J86" i="4"/>
  <c r="L86" i="4" s="1"/>
  <c r="J103" i="2" s="1"/>
  <c r="E84" i="1"/>
  <c r="E86" i="1"/>
  <c r="V20" i="2"/>
  <c r="E87" i="2"/>
  <c r="E86" i="2"/>
  <c r="V22" i="2"/>
  <c r="E23" i="2"/>
  <c r="E20" i="2"/>
  <c r="N84" i="1"/>
  <c r="N24" i="1"/>
  <c r="N21" i="1"/>
  <c r="N20" i="1"/>
  <c r="N22" i="1"/>
  <c r="A29" i="1"/>
  <c r="C29" i="1" s="1"/>
  <c r="C110" i="1" s="1"/>
  <c r="B29" i="1"/>
  <c r="E77" i="4" l="1"/>
  <c r="N84" i="2"/>
  <c r="AL73" i="8"/>
  <c r="AG112" i="8"/>
  <c r="AM113" i="8" s="1"/>
  <c r="H114" i="2"/>
  <c r="V54" i="2"/>
  <c r="F72" i="7"/>
  <c r="L73" i="7" s="1"/>
  <c r="S31" i="8"/>
  <c r="Y32" i="8" s="1"/>
  <c r="T38" i="8" s="1"/>
  <c r="V55" i="2"/>
  <c r="X73" i="8"/>
  <c r="N57" i="1"/>
  <c r="X113" i="7"/>
  <c r="AF31" i="8"/>
  <c r="AL32" i="8" s="1"/>
  <c r="AG72" i="8"/>
  <c r="AM73" i="8" s="1"/>
  <c r="AH79" i="8" s="1"/>
  <c r="S112" i="8"/>
  <c r="Y113" i="8" s="1"/>
  <c r="X73" i="7"/>
  <c r="T79" i="7" s="1"/>
  <c r="E59" i="1"/>
  <c r="F31" i="8"/>
  <c r="L32" i="8" s="1"/>
  <c r="F72" i="8"/>
  <c r="L73" i="8" s="1"/>
  <c r="F112" i="8"/>
  <c r="L113" i="8" s="1"/>
  <c r="K113" i="7"/>
  <c r="N58" i="1"/>
  <c r="V24" i="2"/>
  <c r="D114" i="2"/>
  <c r="N22" i="2"/>
  <c r="N25" i="2"/>
  <c r="N21" i="2"/>
  <c r="X32" i="7"/>
  <c r="N56" i="1"/>
  <c r="V54" i="1"/>
  <c r="V57" i="1"/>
  <c r="M25" i="4"/>
  <c r="U81" i="4"/>
  <c r="M51" i="4"/>
  <c r="E22" i="4"/>
  <c r="U77" i="4"/>
  <c r="M24" i="4"/>
  <c r="E80" i="4"/>
  <c r="U50" i="4"/>
  <c r="E81" i="4"/>
  <c r="E25" i="4"/>
  <c r="U53" i="4"/>
  <c r="E21" i="4"/>
  <c r="M50" i="4"/>
  <c r="U80" i="4"/>
  <c r="E56" i="2"/>
  <c r="F114" i="2"/>
  <c r="N20" i="2"/>
  <c r="V21" i="2"/>
  <c r="K32" i="8"/>
  <c r="G38" i="8" s="1"/>
  <c r="V87" i="1"/>
  <c r="K111" i="1"/>
  <c r="T119" i="8"/>
  <c r="S72" i="8"/>
  <c r="Y73" i="8" s="1"/>
  <c r="T79" i="8" s="1"/>
  <c r="V23" i="2"/>
  <c r="N55" i="1"/>
  <c r="AL113" i="8"/>
  <c r="N59" i="1"/>
  <c r="V58" i="1"/>
  <c r="V55" i="1"/>
  <c r="U49" i="4"/>
  <c r="M20" i="4"/>
  <c r="M53" i="4"/>
  <c r="U24" i="4"/>
  <c r="M80" i="4"/>
  <c r="E50" i="4"/>
  <c r="E48" i="4"/>
  <c r="M78" i="4"/>
  <c r="U22" i="4"/>
  <c r="E52" i="4"/>
  <c r="E82" i="4"/>
  <c r="U25" i="4"/>
  <c r="AG72" i="7"/>
  <c r="AM73" i="7" s="1"/>
  <c r="AL113" i="7"/>
  <c r="F112" i="7"/>
  <c r="L113" i="7" s="1"/>
  <c r="S31" i="7"/>
  <c r="Y32" i="7" s="1"/>
  <c r="N24" i="2"/>
  <c r="V25" i="2"/>
  <c r="K73" i="8"/>
  <c r="G79" i="8" s="1"/>
  <c r="N87" i="2"/>
  <c r="J114" i="2"/>
  <c r="N86" i="2"/>
  <c r="K113" i="8"/>
  <c r="G119" i="8" s="1"/>
  <c r="L29" i="4"/>
  <c r="D103" i="2" s="1"/>
  <c r="E55" i="1"/>
  <c r="E57" i="1"/>
  <c r="E56" i="1"/>
  <c r="E54" i="1"/>
  <c r="AG38" i="8"/>
  <c r="E57" i="2"/>
  <c r="E54" i="2"/>
  <c r="E55" i="2"/>
  <c r="E59" i="2"/>
  <c r="S112" i="7"/>
  <c r="Y113" i="7" s="1"/>
  <c r="G119" i="7"/>
  <c r="E58" i="2"/>
  <c r="AL73" i="7"/>
  <c r="AH79" i="7" s="1"/>
  <c r="AF31" i="7"/>
  <c r="AL32" i="7" s="1"/>
  <c r="AG38" i="7" s="1"/>
  <c r="AG112" i="7"/>
  <c r="AM113" i="7" s="1"/>
  <c r="F31" i="7"/>
  <c r="G79" i="7"/>
  <c r="V88" i="1"/>
  <c r="V89" i="1"/>
  <c r="V85" i="1"/>
  <c r="V84" i="1"/>
  <c r="V86" i="1"/>
  <c r="D29" i="1"/>
  <c r="AH119" i="8" l="1"/>
  <c r="T119" i="7"/>
  <c r="T38" i="7"/>
  <c r="E23" i="1"/>
  <c r="C111" i="1"/>
  <c r="AH119" i="7"/>
  <c r="N89" i="1"/>
  <c r="E25" i="1"/>
  <c r="E20" i="1"/>
  <c r="E22" i="1"/>
  <c r="E24" i="1"/>
  <c r="E21" i="1"/>
  <c r="L32" i="7"/>
  <c r="K21" i="7"/>
  <c r="K32" i="7" s="1"/>
  <c r="G38" i="7" l="1"/>
</calcChain>
</file>

<file path=xl/sharedStrings.xml><?xml version="1.0" encoding="utf-8"?>
<sst xmlns="http://schemas.openxmlformats.org/spreadsheetml/2006/main" count="2012" uniqueCount="98">
  <si>
    <t>Time (min)</t>
  </si>
  <si>
    <r>
      <t>C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(mg/l)</t>
    </r>
  </si>
  <si>
    <t>Ce (mg/l)</t>
  </si>
  <si>
    <t>ln(Ct/(Co-Ct)</t>
  </si>
  <si>
    <t>Experiment</t>
  </si>
  <si>
    <t>Model</t>
  </si>
  <si>
    <t>Slope</t>
  </si>
  <si>
    <t>Intercept</t>
  </si>
  <si>
    <t>K</t>
  </si>
  <si>
    <t>K= slope</t>
  </si>
  <si>
    <r>
      <t>intercept =K</t>
    </r>
    <r>
      <rPr>
        <sz val="11"/>
        <color theme="1"/>
        <rFont val="Calibri"/>
        <family val="2"/>
      </rPr>
      <t>τ</t>
    </r>
  </si>
  <si>
    <t>τ=intercept/K</t>
  </si>
  <si>
    <t>τ</t>
  </si>
  <si>
    <t>ln(Ct/(Co-Ct))</t>
  </si>
  <si>
    <t>https://www.youtube.com/watch?v=u6bPPLQmnhQ</t>
  </si>
  <si>
    <t>Thomas Model</t>
  </si>
  <si>
    <t>https://www.youtube.com/watch?v=c6vdfohn0Yk</t>
  </si>
  <si>
    <t>https://www.youtube.com/watch?v=kBHigl5_-vk</t>
  </si>
  <si>
    <t>Thomas model</t>
  </si>
  <si>
    <t>Linear</t>
  </si>
  <si>
    <t>Nelson Yoon model linear</t>
  </si>
  <si>
    <t>Mass</t>
  </si>
  <si>
    <t>g</t>
  </si>
  <si>
    <t>Volume</t>
  </si>
  <si>
    <t>L</t>
  </si>
  <si>
    <t>0,174 (l/min)</t>
  </si>
  <si>
    <t>1,67 (ml/min)</t>
  </si>
  <si>
    <t>0,262 (l/min)</t>
  </si>
  <si>
    <t>2,52(ml/min)</t>
  </si>
  <si>
    <t>0,523 (l/min)</t>
  </si>
  <si>
    <t>5,0 (ml/min)</t>
  </si>
  <si>
    <t>ln(Co/Ct-1)</t>
  </si>
  <si>
    <t>slope=-KCo</t>
  </si>
  <si>
    <r>
      <t>intercept =Kq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m/Q</t>
    </r>
  </si>
  <si>
    <r>
      <t>q</t>
    </r>
    <r>
      <rPr>
        <vertAlign val="sub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>= amount adsorbed</t>
    </r>
  </si>
  <si>
    <t>k=slope/-Co</t>
  </si>
  <si>
    <r>
      <t>q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=(intercept*Q)/(K*m)</t>
    </r>
  </si>
  <si>
    <t>Flow Rate</t>
  </si>
  <si>
    <r>
      <t>q</t>
    </r>
    <r>
      <rPr>
        <vertAlign val="subscript"/>
        <sz val="11"/>
        <color theme="1"/>
        <rFont val="Calibri"/>
        <family val="2"/>
      </rPr>
      <t xml:space="preserve">o </t>
    </r>
    <r>
      <rPr>
        <sz val="11"/>
        <color theme="1"/>
        <rFont val="Calibri"/>
        <family val="2"/>
      </rPr>
      <t>(mg/g)</t>
    </r>
  </si>
  <si>
    <r>
      <t>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</si>
  <si>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 Litre to m3</t>
  </si>
  <si>
    <t>divide by area</t>
  </si>
  <si>
    <t>U(v)_cm/min</t>
  </si>
  <si>
    <t>convert to cm/min</t>
  </si>
  <si>
    <t>m3/min</t>
  </si>
  <si>
    <t>m/min</t>
  </si>
  <si>
    <t>cm/min</t>
  </si>
  <si>
    <t>ln(Co/Ct)</t>
  </si>
  <si>
    <t>Conversion</t>
  </si>
  <si>
    <t>(Velocity)</t>
  </si>
  <si>
    <t>slope=KCo</t>
  </si>
  <si>
    <r>
      <t>intercept =KN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L/U</t>
    </r>
    <r>
      <rPr>
        <vertAlign val="subscript"/>
        <sz val="11"/>
        <color theme="1"/>
        <rFont val="Calibri"/>
        <family val="2"/>
        <scheme val="minor"/>
      </rPr>
      <t>o</t>
    </r>
  </si>
  <si>
    <t>k=slope/Co</t>
  </si>
  <si>
    <r>
      <t>N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=(intercept*Uo)/(K*L)</t>
    </r>
  </si>
  <si>
    <r>
      <t>N</t>
    </r>
    <r>
      <rPr>
        <vertAlign val="sub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>= amount adsorbed</t>
    </r>
  </si>
  <si>
    <r>
      <t>N</t>
    </r>
    <r>
      <rPr>
        <vertAlign val="subscript"/>
        <sz val="11"/>
        <color theme="1"/>
        <rFont val="Calibri"/>
        <family val="2"/>
      </rPr>
      <t xml:space="preserve">o </t>
    </r>
    <r>
      <rPr>
        <sz val="11"/>
        <color theme="1"/>
        <rFont val="Calibri"/>
        <family val="2"/>
      </rPr>
      <t>(mg/g)</t>
    </r>
  </si>
  <si>
    <t>pH 6.5</t>
  </si>
  <si>
    <t>Iron (Fe)</t>
  </si>
  <si>
    <t>Experimental</t>
  </si>
  <si>
    <t>Square difference</t>
  </si>
  <si>
    <t>lnCe</t>
  </si>
  <si>
    <t>Residual ^2</t>
  </si>
  <si>
    <t>*(C9-$D$20)^2</t>
  </si>
  <si>
    <t>SUM</t>
  </si>
  <si>
    <t>SSR</t>
  </si>
  <si>
    <t>ASSR</t>
  </si>
  <si>
    <t>*average (D9:D18)</t>
  </si>
  <si>
    <t>*Sum (F9:F18)</t>
  </si>
  <si>
    <t>*SUM(J9:J18)</t>
  </si>
  <si>
    <t>litres</t>
  </si>
  <si>
    <t>R^2</t>
  </si>
  <si>
    <t>Ct/Co</t>
  </si>
  <si>
    <t>y (Ct/Co)</t>
  </si>
  <si>
    <t>ꚍ</t>
  </si>
  <si>
    <t>pH 7.5</t>
  </si>
  <si>
    <t>pH 8.5</t>
  </si>
  <si>
    <t>Co/Ct</t>
  </si>
  <si>
    <t>Break Through</t>
  </si>
  <si>
    <t>Time (Min)</t>
  </si>
  <si>
    <t>Fe_Break Through Curves (Co/Ct)_pH 6.5</t>
  </si>
  <si>
    <t>Fe_Desorption curves (Ct/Co)_pH 6.5</t>
  </si>
  <si>
    <t>Fe_Break Through Curves (Co/Ct)_pH 7.5</t>
  </si>
  <si>
    <t>Fe_Desorption curves (Ct/Co)_pH 7.5</t>
  </si>
  <si>
    <t>Fe_Break Through Curves (Co/Ct)_pH 8.5</t>
  </si>
  <si>
    <t>Fe_Desorption curves (Ct/Co)_pH 8.5</t>
  </si>
  <si>
    <t>RUNS</t>
  </si>
  <si>
    <t>pH</t>
  </si>
  <si>
    <t>Flow rate (l/min)</t>
  </si>
  <si>
    <t>Thomas Constants</t>
  </si>
  <si>
    <t>Adam-Bohartz</t>
  </si>
  <si>
    <t>Yoon Nelson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</si>
  <si>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</si>
  <si>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r>
      <t>q</t>
    </r>
    <r>
      <rPr>
        <vertAlign val="sub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 xml:space="preserve"> (mg/g)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</si>
  <si>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TH </t>
    </r>
    <r>
      <rPr>
        <sz val="11"/>
        <color theme="1"/>
        <rFont val="Calibri"/>
        <family val="2"/>
        <scheme val="minor"/>
      </rPr>
      <t>(L/mg/min)</t>
    </r>
  </si>
  <si>
    <r>
      <t>N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(mg/g)</t>
    </r>
  </si>
  <si>
    <r>
      <t>K</t>
    </r>
    <r>
      <rPr>
        <vertAlign val="subscript"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(L/mg/min)</t>
    </r>
  </si>
  <si>
    <r>
      <t>K</t>
    </r>
    <r>
      <rPr>
        <vertAlign val="subscript"/>
        <sz val="11"/>
        <color theme="1"/>
        <rFont val="Calibri"/>
        <family val="2"/>
        <scheme val="minor"/>
      </rPr>
      <t>YN</t>
    </r>
    <r>
      <rPr>
        <sz val="11"/>
        <color theme="1"/>
        <rFont val="Calibri"/>
        <family val="2"/>
        <scheme val="minor"/>
      </rPr>
      <t xml:space="preserve"> (min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</si>
  <si>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τ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</si>
</sst>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R&quot;#,##0;[Red]\-&quot;R&quot;#,##0"/>
    <numFmt numFmtId="164" formatCode="0.0"/>
    <numFmt numFmtId="165" formatCode="0.000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2" fontId="0" fillId="0" borderId="0" xfId="0" applyNumberFormat="1"/>
    <xf numFmtId="2" fontId="0" fillId="0" borderId="0" xfId="0" applyNumberFormat="1" applyBorder="1"/>
    <xf numFmtId="0" fontId="3" fillId="0" borderId="0" xfId="0" applyFont="1"/>
    <xf numFmtId="0" fontId="0" fillId="0" borderId="0" xfId="0" applyAlignment="1">
      <alignment horizontal="center"/>
    </xf>
    <xf numFmtId="2" fontId="1" fillId="0" borderId="0" xfId="0" applyNumberFormat="1" applyFont="1"/>
    <xf numFmtId="0" fontId="0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Border="1"/>
    <xf numFmtId="0" fontId="7" fillId="0" borderId="0" xfId="0" applyFont="1"/>
    <xf numFmtId="0" fontId="0" fillId="2" borderId="0" xfId="0" applyFill="1"/>
    <xf numFmtId="165" fontId="0" fillId="0" borderId="0" xfId="0" applyNumberFormat="1"/>
    <xf numFmtId="6" fontId="0" fillId="0" borderId="0" xfId="0" applyNumberFormat="1" applyAlignment="1">
      <alignment horizontal="center"/>
    </xf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166" fontId="0" fillId="0" borderId="1" xfId="0" applyNumberFormat="1" applyBorder="1"/>
    <xf numFmtId="49" fontId="0" fillId="0" borderId="1" xfId="0" applyNumberFormat="1" applyBorder="1"/>
    <xf numFmtId="2" fontId="0" fillId="0" borderId="1" xfId="0" applyNumberFormat="1" applyBorder="1"/>
    <xf numFmtId="11" fontId="0" fillId="0" borderId="1" xfId="0" applyNumberFormat="1" applyBorder="1"/>
    <xf numFmtId="165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Iron</a:t>
            </a:r>
            <a:r>
              <a:rPr lang="en-ZA" baseline="0"/>
              <a:t> (Fe)_pH 6.5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pH 6.5 : 0.174l/min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'Yoon Nonlinear_Fe'!$B$46:$B$51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Nonlinear_Fe'!$C$46:$C$51</c:f>
              <c:numCache>
                <c:formatCode>0.00</c:formatCode>
                <c:ptCount val="6"/>
                <c:pt idx="0">
                  <c:v>0.84000000000000008</c:v>
                </c:pt>
                <c:pt idx="1">
                  <c:v>1.6935483870967742</c:v>
                </c:pt>
                <c:pt idx="2">
                  <c:v>1.9626168224299065</c:v>
                </c:pt>
                <c:pt idx="3">
                  <c:v>1.9090909090909089</c:v>
                </c:pt>
                <c:pt idx="4">
                  <c:v>1.8260869565217392</c:v>
                </c:pt>
                <c:pt idx="5">
                  <c:v>1.6153846153846154</c:v>
                </c:pt>
              </c:numCache>
            </c:numRef>
          </c:val>
          <c:smooth val="0"/>
        </c:ser>
        <c:ser>
          <c:idx val="1"/>
          <c:order val="1"/>
          <c:tx>
            <c:v>pH 6.5 : 0.262 l/min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'Yoon Nonlinear_Fe'!$B$46:$B$51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Nonlinear_Fe'!$D$46:$D$51</c:f>
              <c:numCache>
                <c:formatCode>0.00</c:formatCode>
                <c:ptCount val="6"/>
                <c:pt idx="0">
                  <c:v>0.75000000000000011</c:v>
                </c:pt>
                <c:pt idx="1">
                  <c:v>0.80769230769230771</c:v>
                </c:pt>
                <c:pt idx="2">
                  <c:v>0.88235294117647067</c:v>
                </c:pt>
                <c:pt idx="3">
                  <c:v>1.1666666666666667</c:v>
                </c:pt>
                <c:pt idx="4">
                  <c:v>1.05</c:v>
                </c:pt>
                <c:pt idx="5">
                  <c:v>1.2280701754385965</c:v>
                </c:pt>
              </c:numCache>
            </c:numRef>
          </c:val>
          <c:smooth val="0"/>
        </c:ser>
        <c:ser>
          <c:idx val="2"/>
          <c:order val="2"/>
          <c:tx>
            <c:v>pH 6.5 : 0.523 l/min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'Yoon Nonlinear_Fe'!$B$46:$B$51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Nonlinear_Fe'!$E$46:$E$51</c:f>
              <c:numCache>
                <c:formatCode>0.00</c:formatCode>
                <c:ptCount val="6"/>
                <c:pt idx="0">
                  <c:v>1.0476190476190477</c:v>
                </c:pt>
                <c:pt idx="1">
                  <c:v>1.0476190476190477</c:v>
                </c:pt>
                <c:pt idx="2">
                  <c:v>1.0904761904761904</c:v>
                </c:pt>
                <c:pt idx="3">
                  <c:v>1.0476190476190477</c:v>
                </c:pt>
                <c:pt idx="4">
                  <c:v>1.1428571428571428</c:v>
                </c:pt>
                <c:pt idx="5">
                  <c:v>1.2190476190476189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10424"/>
        <c:axId val="397404152"/>
      </c:lineChart>
      <c:catAx>
        <c:axId val="397410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404152"/>
        <c:crosses val="autoZero"/>
        <c:auto val="1"/>
        <c:lblAlgn val="ctr"/>
        <c:lblOffset val="100"/>
        <c:noMultiLvlLbl val="0"/>
      </c:catAx>
      <c:valAx>
        <c:axId val="3974041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Co/Ct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41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Manganese</a:t>
            </a:r>
            <a:r>
              <a:rPr lang="en-ZA" baseline="0"/>
              <a:t> (Mn)_pH 7.5</a:t>
            </a:r>
            <a:endParaRPr lang="en-Z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pH 7.5 : 0.174 l/min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'Yoon nonlinear_Mn'!$G$88:$G$93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nonlinear_Mn'!$H$88:$H$93</c:f>
              <c:numCache>
                <c:formatCode>0.00</c:formatCode>
                <c:ptCount val="6"/>
                <c:pt idx="0">
                  <c:v>0.25238095238095237</c:v>
                </c:pt>
                <c:pt idx="1">
                  <c:v>0.23809523809523808</c:v>
                </c:pt>
                <c:pt idx="2">
                  <c:v>0.23809523809523808</c:v>
                </c:pt>
                <c:pt idx="3">
                  <c:v>0.23809523809523808</c:v>
                </c:pt>
                <c:pt idx="4">
                  <c:v>0.23809523809523808</c:v>
                </c:pt>
                <c:pt idx="5">
                  <c:v>0.22380952380952379</c:v>
                </c:pt>
              </c:numCache>
            </c:numRef>
          </c:val>
          <c:smooth val="0"/>
        </c:ser>
        <c:ser>
          <c:idx val="1"/>
          <c:order val="1"/>
          <c:tx>
            <c:v>pH 7.5 : 0.262 l/min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'Yoon nonlinear_Mn'!$G$88:$G$93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nonlinear_Mn'!$I$88:$I$93</c:f>
              <c:numCache>
                <c:formatCode>0.00</c:formatCode>
                <c:ptCount val="6"/>
                <c:pt idx="0">
                  <c:v>0.17619047619047618</c:v>
                </c:pt>
                <c:pt idx="1">
                  <c:v>0.14285714285714285</c:v>
                </c:pt>
                <c:pt idx="2">
                  <c:v>0.15714285714285714</c:v>
                </c:pt>
                <c:pt idx="3">
                  <c:v>0.19047619047619047</c:v>
                </c:pt>
                <c:pt idx="4">
                  <c:v>0.19047619047619047</c:v>
                </c:pt>
                <c:pt idx="5">
                  <c:v>0.14285714285714285</c:v>
                </c:pt>
              </c:numCache>
            </c:numRef>
          </c:val>
          <c:smooth val="0"/>
        </c:ser>
        <c:ser>
          <c:idx val="2"/>
          <c:order val="2"/>
          <c:tx>
            <c:v>pH 7.5 : 0.523 l/min 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'Yoon nonlinear_Mn'!$G$88:$G$93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nonlinear_Mn'!$J$88:$J$93</c:f>
              <c:numCache>
                <c:formatCode>0.00</c:formatCode>
                <c:ptCount val="6"/>
                <c:pt idx="0">
                  <c:v>0.23809523809523808</c:v>
                </c:pt>
                <c:pt idx="1">
                  <c:v>0.2857142857142857</c:v>
                </c:pt>
                <c:pt idx="2">
                  <c:v>0.3</c:v>
                </c:pt>
                <c:pt idx="3">
                  <c:v>0.2857142857142857</c:v>
                </c:pt>
                <c:pt idx="4">
                  <c:v>0.19047619047619047</c:v>
                </c:pt>
                <c:pt idx="5">
                  <c:v>0.23809523809523808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91440"/>
        <c:axId val="398785168"/>
      </c:lineChart>
      <c:catAx>
        <c:axId val="398791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(min)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85168"/>
        <c:crosses val="autoZero"/>
        <c:auto val="1"/>
        <c:lblAlgn val="ctr"/>
        <c:lblOffset val="100"/>
        <c:noMultiLvlLbl val="0"/>
      </c:catAx>
      <c:valAx>
        <c:axId val="398785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Ct/Co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9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Manganese</a:t>
            </a:r>
            <a:r>
              <a:rPr lang="en-ZA" baseline="0"/>
              <a:t> (Mn)_pH 8.5</a:t>
            </a:r>
            <a:endParaRPr lang="en-Z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pH 8.5 : 0.174 l/min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'Yoon nonlinear_Mn'!$C$129:$C$134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nonlinear_Mn'!$D$129:$D$134</c:f>
              <c:numCache>
                <c:formatCode>0.00</c:formatCode>
                <c:ptCount val="6"/>
                <c:pt idx="0">
                  <c:v>3.9375</c:v>
                </c:pt>
                <c:pt idx="1">
                  <c:v>3.7058823529411762</c:v>
                </c:pt>
                <c:pt idx="2">
                  <c:v>4.5000000000000009</c:v>
                </c:pt>
                <c:pt idx="3">
                  <c:v>6.3000000000000007</c:v>
                </c:pt>
                <c:pt idx="4">
                  <c:v>4.8461538461538458</c:v>
                </c:pt>
                <c:pt idx="5">
                  <c:v>3.9375</c:v>
                </c:pt>
              </c:numCache>
            </c:numRef>
          </c:val>
          <c:smooth val="0"/>
        </c:ser>
        <c:ser>
          <c:idx val="1"/>
          <c:order val="1"/>
          <c:tx>
            <c:v>pH 8.5 : 0.262 l/min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'Yoon nonlinear_Mn'!$C$129:$C$134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nonlinear_Mn'!$E$129:$E$134</c:f>
              <c:numCache>
                <c:formatCode>0.00</c:formatCode>
                <c:ptCount val="6"/>
                <c:pt idx="0">
                  <c:v>3.9375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4.5000000000000009</c:v>
                </c:pt>
                <c:pt idx="5">
                  <c:v>3.9375</c:v>
                </c:pt>
              </c:numCache>
            </c:numRef>
          </c:val>
          <c:smooth val="0"/>
        </c:ser>
        <c:ser>
          <c:idx val="2"/>
          <c:order val="2"/>
          <c:tx>
            <c:v>pH 8.5 : 0.523 l/min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'Yoon nonlinear_Mn'!$C$129:$C$134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nonlinear_Mn'!$F$129:$F$134</c:f>
              <c:numCache>
                <c:formatCode>0.00</c:formatCode>
                <c:ptCount val="6"/>
                <c:pt idx="0">
                  <c:v>3.3157894736842106</c:v>
                </c:pt>
                <c:pt idx="1">
                  <c:v>4.2</c:v>
                </c:pt>
                <c:pt idx="2">
                  <c:v>3.7058823529411762</c:v>
                </c:pt>
                <c:pt idx="3">
                  <c:v>3.7058823529411762</c:v>
                </c:pt>
                <c:pt idx="4">
                  <c:v>3.3157894736842106</c:v>
                </c:pt>
                <c:pt idx="5">
                  <c:v>3.5000000000000004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85952"/>
        <c:axId val="398786344"/>
      </c:lineChart>
      <c:catAx>
        <c:axId val="39878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86344"/>
        <c:crosses val="autoZero"/>
        <c:auto val="1"/>
        <c:lblAlgn val="ctr"/>
        <c:lblOffset val="100"/>
        <c:noMultiLvlLbl val="0"/>
      </c:catAx>
      <c:valAx>
        <c:axId val="398786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Co/Ct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8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Mnanganese</a:t>
            </a:r>
            <a:r>
              <a:rPr lang="en-ZA" baseline="0"/>
              <a:t> (Mn)_pH 8.5</a:t>
            </a:r>
            <a:endParaRPr lang="en-Z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pH 8.5 : 0.174 l/min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'Yoon nonlinear_Mn'!$H$129:$H$134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nonlinear_Mn'!$I$129:$I$134</c:f>
              <c:numCache>
                <c:formatCode>0.00</c:formatCode>
                <c:ptCount val="6"/>
                <c:pt idx="0">
                  <c:v>0.25396825396825395</c:v>
                </c:pt>
                <c:pt idx="1">
                  <c:v>0.26984126984126988</c:v>
                </c:pt>
                <c:pt idx="2">
                  <c:v>0.22222222222222218</c:v>
                </c:pt>
                <c:pt idx="3">
                  <c:v>0.15873015873015872</c:v>
                </c:pt>
                <c:pt idx="4">
                  <c:v>0.20634920634920634</c:v>
                </c:pt>
                <c:pt idx="5">
                  <c:v>0.25396825396825395</c:v>
                </c:pt>
              </c:numCache>
            </c:numRef>
          </c:val>
          <c:smooth val="0"/>
        </c:ser>
        <c:ser>
          <c:idx val="1"/>
          <c:order val="1"/>
          <c:tx>
            <c:v>pH 8.5 : 0.262 l/min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'Yoon nonlinear_Mn'!$H$129:$H$134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nonlinear_Mn'!$J$129:$J$134</c:f>
              <c:numCache>
                <c:formatCode>0.00</c:formatCode>
                <c:ptCount val="6"/>
                <c:pt idx="0">
                  <c:v>0.25396825396825395</c:v>
                </c:pt>
                <c:pt idx="1">
                  <c:v>0.23809523809523808</c:v>
                </c:pt>
                <c:pt idx="2">
                  <c:v>0.23809523809523808</c:v>
                </c:pt>
                <c:pt idx="3">
                  <c:v>0.23809523809523808</c:v>
                </c:pt>
                <c:pt idx="4">
                  <c:v>0.22222222222222218</c:v>
                </c:pt>
                <c:pt idx="5">
                  <c:v>0.25396825396825395</c:v>
                </c:pt>
              </c:numCache>
            </c:numRef>
          </c:val>
          <c:smooth val="0"/>
        </c:ser>
        <c:ser>
          <c:idx val="2"/>
          <c:order val="2"/>
          <c:tx>
            <c:v>pH 8.5 : 0.523 l/min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'Yoon nonlinear_Mn'!$H$129:$H$134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nonlinear_Mn'!$K$129:$K$134</c:f>
              <c:numCache>
                <c:formatCode>0.00</c:formatCode>
                <c:ptCount val="6"/>
                <c:pt idx="0">
                  <c:v>0.30158730158730157</c:v>
                </c:pt>
                <c:pt idx="1">
                  <c:v>0.23809523809523808</c:v>
                </c:pt>
                <c:pt idx="2">
                  <c:v>0.26984126984126988</c:v>
                </c:pt>
                <c:pt idx="3">
                  <c:v>0.26984126984126988</c:v>
                </c:pt>
                <c:pt idx="4">
                  <c:v>0.30158730158730157</c:v>
                </c:pt>
                <c:pt idx="5">
                  <c:v>0.2857142857142857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06504"/>
        <c:axId val="399680800"/>
      </c:lineChart>
      <c:catAx>
        <c:axId val="397406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(min)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80800"/>
        <c:crosses val="autoZero"/>
        <c:auto val="1"/>
        <c:lblAlgn val="ctr"/>
        <c:lblOffset val="100"/>
        <c:noMultiLvlLbl val="0"/>
      </c:catAx>
      <c:valAx>
        <c:axId val="399680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Co/Ct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40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Iron</a:t>
            </a:r>
            <a:r>
              <a:rPr lang="en-ZA" baseline="0"/>
              <a:t> (Fe)_pH 6.5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pH 6.5 : 0.174 l/min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'Yoon Nonlinear_Fe'!$G$46:$G$51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Nonlinear_Fe'!$H$46:$H$51</c:f>
              <c:numCache>
                <c:formatCode>0.00</c:formatCode>
                <c:ptCount val="6"/>
                <c:pt idx="0">
                  <c:v>1.1904761904761905</c:v>
                </c:pt>
                <c:pt idx="1">
                  <c:v>0.59047619047619049</c:v>
                </c:pt>
                <c:pt idx="2">
                  <c:v>0.50952380952380949</c:v>
                </c:pt>
                <c:pt idx="3">
                  <c:v>0.52380952380952384</c:v>
                </c:pt>
                <c:pt idx="4">
                  <c:v>0.54761904761904756</c:v>
                </c:pt>
                <c:pt idx="5">
                  <c:v>0.61904761904761907</c:v>
                </c:pt>
              </c:numCache>
            </c:numRef>
          </c:val>
          <c:smooth val="0"/>
        </c:ser>
        <c:ser>
          <c:idx val="1"/>
          <c:order val="1"/>
          <c:tx>
            <c:v>pH 6.5: 0.262 l/min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'Yoon Nonlinear_Fe'!$G$46:$G$51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Nonlinear_Fe'!$I$46:$I$51</c:f>
              <c:numCache>
                <c:formatCode>0.00</c:formatCode>
                <c:ptCount val="6"/>
                <c:pt idx="0">
                  <c:v>1.3333333333333333</c:v>
                </c:pt>
                <c:pt idx="1">
                  <c:v>1.2380952380952381</c:v>
                </c:pt>
                <c:pt idx="2">
                  <c:v>1.1333333333333333</c:v>
                </c:pt>
                <c:pt idx="3">
                  <c:v>0.8571428571428571</c:v>
                </c:pt>
                <c:pt idx="4">
                  <c:v>0.95238095238095233</c:v>
                </c:pt>
                <c:pt idx="5">
                  <c:v>0.81428571428571428</c:v>
                </c:pt>
              </c:numCache>
            </c:numRef>
          </c:val>
          <c:smooth val="0"/>
        </c:ser>
        <c:ser>
          <c:idx val="2"/>
          <c:order val="2"/>
          <c:tx>
            <c:v>pH 6.5 : 0.523 l/min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'Yoon Nonlinear_Fe'!$G$46:$G$51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Nonlinear_Fe'!$J$46:$J$51</c:f>
              <c:numCache>
                <c:formatCode>0.00</c:formatCode>
                <c:ptCount val="6"/>
                <c:pt idx="0">
                  <c:v>1.0476190476190477</c:v>
                </c:pt>
                <c:pt idx="1">
                  <c:v>1.0476190476190477</c:v>
                </c:pt>
                <c:pt idx="2">
                  <c:v>1.0904761904761904</c:v>
                </c:pt>
                <c:pt idx="3">
                  <c:v>1.0476190476190477</c:v>
                </c:pt>
                <c:pt idx="4">
                  <c:v>1.1428571428571428</c:v>
                </c:pt>
                <c:pt idx="5">
                  <c:v>1.2190476190476189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06896"/>
        <c:axId val="397410816"/>
      </c:lineChart>
      <c:catAx>
        <c:axId val="397406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410816"/>
        <c:crosses val="autoZero"/>
        <c:auto val="1"/>
        <c:lblAlgn val="ctr"/>
        <c:lblOffset val="100"/>
        <c:noMultiLvlLbl val="0"/>
      </c:catAx>
      <c:valAx>
        <c:axId val="39741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Ct/Co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40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Iron</a:t>
            </a:r>
            <a:r>
              <a:rPr lang="en-ZA" baseline="0"/>
              <a:t> (Fe)_pH 7.5</a:t>
            </a:r>
            <a:endParaRPr lang="en-Z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pH 7.5 : 0.174 l/min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'Yoon Nonlinear_Fe'!$B$88:$B$93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Nonlinear_Fe'!$C$88:$C$93</c:f>
              <c:numCache>
                <c:formatCode>0.00</c:formatCode>
                <c:ptCount val="6"/>
                <c:pt idx="0">
                  <c:v>1.3125</c:v>
                </c:pt>
                <c:pt idx="1">
                  <c:v>1.8918918918918919</c:v>
                </c:pt>
                <c:pt idx="2">
                  <c:v>3.8888888888888888</c:v>
                </c:pt>
                <c:pt idx="3">
                  <c:v>4.7727272727272725</c:v>
                </c:pt>
                <c:pt idx="4">
                  <c:v>4.666666666666667</c:v>
                </c:pt>
                <c:pt idx="5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pH 7.5 : 0.262 l/min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'Yoon Nonlinear_Fe'!$B$88:$B$93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Nonlinear_Fe'!$D$88:$D$93</c:f>
              <c:numCache>
                <c:formatCode>0.00</c:formatCode>
                <c:ptCount val="6"/>
                <c:pt idx="0">
                  <c:v>1.2883435582822087</c:v>
                </c:pt>
                <c:pt idx="1">
                  <c:v>1.7500000000000002</c:v>
                </c:pt>
                <c:pt idx="2">
                  <c:v>2.3595505617977528</c:v>
                </c:pt>
                <c:pt idx="3">
                  <c:v>2.3333333333333335</c:v>
                </c:pt>
                <c:pt idx="4">
                  <c:v>2.3333333333333335</c:v>
                </c:pt>
                <c:pt idx="5">
                  <c:v>2.3595505617977528</c:v>
                </c:pt>
              </c:numCache>
            </c:numRef>
          </c:val>
          <c:smooth val="0"/>
        </c:ser>
        <c:ser>
          <c:idx val="2"/>
          <c:order val="2"/>
          <c:tx>
            <c:v>pH 7.5 : 0.523 l/min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'Yoon Nonlinear_Fe'!$B$88:$B$93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Nonlinear_Fe'!$E$88:$E$93</c:f>
              <c:numCache>
                <c:formatCode>0.00</c:formatCode>
                <c:ptCount val="6"/>
                <c:pt idx="0">
                  <c:v>1.3125</c:v>
                </c:pt>
                <c:pt idx="1">
                  <c:v>1.4000000000000001</c:v>
                </c:pt>
                <c:pt idx="2">
                  <c:v>1.6935483870967742</c:v>
                </c:pt>
                <c:pt idx="3">
                  <c:v>1.7500000000000002</c:v>
                </c:pt>
                <c:pt idx="4">
                  <c:v>1.9090909090909089</c:v>
                </c:pt>
                <c:pt idx="5">
                  <c:v>1.8918918918918919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08856"/>
        <c:axId val="397411208"/>
      </c:lineChart>
      <c:catAx>
        <c:axId val="397408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(min)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411208"/>
        <c:crosses val="autoZero"/>
        <c:auto val="1"/>
        <c:lblAlgn val="ctr"/>
        <c:lblOffset val="100"/>
        <c:noMultiLvlLbl val="0"/>
      </c:catAx>
      <c:valAx>
        <c:axId val="3974112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Co/Ct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40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Iron</a:t>
            </a:r>
            <a:r>
              <a:rPr lang="en-ZA" baseline="0"/>
              <a:t> (Fe)_pH 7.5</a:t>
            </a:r>
            <a:endParaRPr lang="en-Z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pH 7.5 : 0.174 l/min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'Yoon Nonlinear_Fe'!$G$88:$G$93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Nonlinear_Fe'!$H$88:$H$93</c:f>
              <c:numCache>
                <c:formatCode>0.00</c:formatCode>
                <c:ptCount val="6"/>
                <c:pt idx="0">
                  <c:v>0.76190476190476186</c:v>
                </c:pt>
                <c:pt idx="1">
                  <c:v>0.52857142857142858</c:v>
                </c:pt>
                <c:pt idx="2">
                  <c:v>0.25714285714285717</c:v>
                </c:pt>
                <c:pt idx="3">
                  <c:v>0.20952380952380953</c:v>
                </c:pt>
                <c:pt idx="4">
                  <c:v>0.21428571428571427</c:v>
                </c:pt>
                <c:pt idx="5">
                  <c:v>0.19999999999999998</c:v>
                </c:pt>
              </c:numCache>
            </c:numRef>
          </c:val>
          <c:smooth val="0"/>
        </c:ser>
        <c:ser>
          <c:idx val="1"/>
          <c:order val="1"/>
          <c:tx>
            <c:v>pH 7.5 : 0.262 l/min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'Yoon Nonlinear_Fe'!$G$88:$G$93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Nonlinear_Fe'!$I$88:$I$93</c:f>
              <c:numCache>
                <c:formatCode>0.00</c:formatCode>
                <c:ptCount val="6"/>
                <c:pt idx="0">
                  <c:v>0.7761904761904761</c:v>
                </c:pt>
                <c:pt idx="1">
                  <c:v>0.5714285714285714</c:v>
                </c:pt>
                <c:pt idx="2">
                  <c:v>0.4238095238095238</c:v>
                </c:pt>
                <c:pt idx="3">
                  <c:v>0.42857142857142855</c:v>
                </c:pt>
                <c:pt idx="4">
                  <c:v>0.42857142857142855</c:v>
                </c:pt>
                <c:pt idx="5">
                  <c:v>0.4238095238095238</c:v>
                </c:pt>
              </c:numCache>
            </c:numRef>
          </c:val>
          <c:smooth val="0"/>
        </c:ser>
        <c:ser>
          <c:idx val="2"/>
          <c:order val="2"/>
          <c:tx>
            <c:v>pH 7.5 : 0.523 l/min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'Yoon Nonlinear_Fe'!$G$88:$G$93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Nonlinear_Fe'!$J$88:$J$93</c:f>
              <c:numCache>
                <c:formatCode>0.00</c:formatCode>
                <c:ptCount val="6"/>
                <c:pt idx="0">
                  <c:v>0.76190476190476186</c:v>
                </c:pt>
                <c:pt idx="1">
                  <c:v>0.7142857142857143</c:v>
                </c:pt>
                <c:pt idx="2">
                  <c:v>0.59047619047619049</c:v>
                </c:pt>
                <c:pt idx="3">
                  <c:v>0.5714285714285714</c:v>
                </c:pt>
                <c:pt idx="4">
                  <c:v>0.52380952380952384</c:v>
                </c:pt>
                <c:pt idx="5">
                  <c:v>0.52857142857142858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05328"/>
        <c:axId val="397405720"/>
      </c:lineChart>
      <c:catAx>
        <c:axId val="397405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(min)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405720"/>
        <c:crosses val="autoZero"/>
        <c:auto val="1"/>
        <c:lblAlgn val="ctr"/>
        <c:lblOffset val="100"/>
        <c:noMultiLvlLbl val="0"/>
      </c:catAx>
      <c:valAx>
        <c:axId val="397405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Ct/Co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40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Iron(Fe)_pH</a:t>
            </a:r>
            <a:r>
              <a:rPr lang="en-ZA" baseline="0"/>
              <a:t> 8.5</a:t>
            </a:r>
            <a:endParaRPr lang="en-Z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pH 8.5 : 0.174 l/min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'Yoon Nonlinear_Fe'!$C$129:$C$134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Nonlinear_Fe'!$D$129:$D$134</c:f>
              <c:numCache>
                <c:formatCode>0.00</c:formatCode>
                <c:ptCount val="6"/>
                <c:pt idx="0">
                  <c:v>1.1072056239015819</c:v>
                </c:pt>
                <c:pt idx="1">
                  <c:v>2.3161764705882351</c:v>
                </c:pt>
                <c:pt idx="2">
                  <c:v>6.0000000000000018</c:v>
                </c:pt>
                <c:pt idx="3">
                  <c:v>10.677966101694915</c:v>
                </c:pt>
                <c:pt idx="4">
                  <c:v>11.454545454545453</c:v>
                </c:pt>
                <c:pt idx="5">
                  <c:v>14.318181818181817</c:v>
                </c:pt>
              </c:numCache>
            </c:numRef>
          </c:val>
          <c:smooth val="0"/>
        </c:ser>
        <c:ser>
          <c:idx val="1"/>
          <c:order val="1"/>
          <c:tx>
            <c:v>pH 8.5 : 0.262 l/min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'Yoon Nonlinear_Fe'!$C$129:$C$134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Nonlinear_Fe'!$E$129:$E$134</c:f>
              <c:numCache>
                <c:formatCode>0.00</c:formatCode>
                <c:ptCount val="6"/>
                <c:pt idx="0">
                  <c:v>1.1666666666666667</c:v>
                </c:pt>
                <c:pt idx="1">
                  <c:v>1.6449086161879898</c:v>
                </c:pt>
                <c:pt idx="2">
                  <c:v>2.2419928825622777</c:v>
                </c:pt>
                <c:pt idx="3">
                  <c:v>2.94392523364486</c:v>
                </c:pt>
                <c:pt idx="4">
                  <c:v>3.6206896551724141</c:v>
                </c:pt>
                <c:pt idx="5">
                  <c:v>3.8650306748466261</c:v>
                </c:pt>
              </c:numCache>
            </c:numRef>
          </c:val>
          <c:smooth val="0"/>
        </c:ser>
        <c:ser>
          <c:idx val="2"/>
          <c:order val="2"/>
          <c:tx>
            <c:v>pH 8.5 : 0.523 l/min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'Yoon Nonlinear_Fe'!$C$129:$C$134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Nonlinear_Fe'!$F$129:$F$134</c:f>
              <c:numCache>
                <c:formatCode>0.00</c:formatCode>
                <c:ptCount val="6"/>
                <c:pt idx="0">
                  <c:v>1.1371841155234657</c:v>
                </c:pt>
                <c:pt idx="1">
                  <c:v>1.8421052631578949</c:v>
                </c:pt>
                <c:pt idx="2">
                  <c:v>2.0792079207920793</c:v>
                </c:pt>
                <c:pt idx="3">
                  <c:v>3.1979695431472082</c:v>
                </c:pt>
                <c:pt idx="4">
                  <c:v>3.6</c:v>
                </c:pt>
                <c:pt idx="5">
                  <c:v>3.4615384615384621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87128"/>
        <c:axId val="398789480"/>
      </c:lineChart>
      <c:catAx>
        <c:axId val="398787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(min)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89480"/>
        <c:crosses val="autoZero"/>
        <c:auto val="1"/>
        <c:lblAlgn val="ctr"/>
        <c:lblOffset val="100"/>
        <c:noMultiLvlLbl val="0"/>
      </c:catAx>
      <c:valAx>
        <c:axId val="39878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Co/Ct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8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Iron</a:t>
            </a:r>
            <a:r>
              <a:rPr lang="en-ZA" baseline="0"/>
              <a:t> (Fe)_pH 8.5</a:t>
            </a:r>
            <a:endParaRPr lang="en-Z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pH 8.5 : 0.174 l/min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'Yoon Nonlinear_Fe'!$H$129:$H$134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Nonlinear_Fe'!$I$129:$I$134</c:f>
              <c:numCache>
                <c:formatCode>0.00</c:formatCode>
                <c:ptCount val="6"/>
                <c:pt idx="0">
                  <c:v>0.90317460317460307</c:v>
                </c:pt>
                <c:pt idx="1">
                  <c:v>0.43174603174603177</c:v>
                </c:pt>
                <c:pt idx="2">
                  <c:v>0.16666666666666663</c:v>
                </c:pt>
                <c:pt idx="3">
                  <c:v>9.3650793650793651E-2</c:v>
                </c:pt>
                <c:pt idx="4">
                  <c:v>8.7301587301587311E-2</c:v>
                </c:pt>
                <c:pt idx="5">
                  <c:v>6.9841269841269857E-2</c:v>
                </c:pt>
              </c:numCache>
            </c:numRef>
          </c:val>
          <c:smooth val="0"/>
        </c:ser>
        <c:ser>
          <c:idx val="1"/>
          <c:order val="1"/>
          <c:tx>
            <c:v>pH 8.5 : 0.262 l/min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'Yoon Nonlinear_Fe'!$H$129:$H$134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Nonlinear_Fe'!$J$129:$J$134</c:f>
              <c:numCache>
                <c:formatCode>0.00</c:formatCode>
                <c:ptCount val="6"/>
                <c:pt idx="0">
                  <c:v>0.8571428571428571</c:v>
                </c:pt>
                <c:pt idx="1">
                  <c:v>0.60793650793650789</c:v>
                </c:pt>
                <c:pt idx="2">
                  <c:v>0.446031746031746</c:v>
                </c:pt>
                <c:pt idx="3">
                  <c:v>0.33968253968253964</c:v>
                </c:pt>
                <c:pt idx="4">
                  <c:v>0.27619047619047615</c:v>
                </c:pt>
                <c:pt idx="5">
                  <c:v>0.2587301587301587</c:v>
                </c:pt>
              </c:numCache>
            </c:numRef>
          </c:val>
          <c:smooth val="0"/>
        </c:ser>
        <c:ser>
          <c:idx val="2"/>
          <c:order val="2"/>
          <c:tx>
            <c:v>pH 8.5 : 0.523 l/min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'Yoon Nonlinear_Fe'!$H$129:$H$134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Nonlinear_Fe'!$K$129:$K$134</c:f>
              <c:numCache>
                <c:formatCode>0.00</c:formatCode>
                <c:ptCount val="6"/>
                <c:pt idx="0">
                  <c:v>0.87936507936507935</c:v>
                </c:pt>
                <c:pt idx="1">
                  <c:v>0.54285714285714282</c:v>
                </c:pt>
                <c:pt idx="2">
                  <c:v>0.48095238095238091</c:v>
                </c:pt>
                <c:pt idx="3">
                  <c:v>0.3126984126984127</c:v>
                </c:pt>
                <c:pt idx="4">
                  <c:v>0.27777777777777779</c:v>
                </c:pt>
                <c:pt idx="5">
                  <c:v>0.28888888888888881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87520"/>
        <c:axId val="398784384"/>
      </c:lineChart>
      <c:catAx>
        <c:axId val="398787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(min)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84384"/>
        <c:crosses val="autoZero"/>
        <c:auto val="1"/>
        <c:lblAlgn val="ctr"/>
        <c:lblOffset val="100"/>
        <c:noMultiLvlLbl val="0"/>
      </c:catAx>
      <c:valAx>
        <c:axId val="398784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Ct/Co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8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Manganese</a:t>
            </a:r>
            <a:r>
              <a:rPr lang="en-ZA" baseline="0"/>
              <a:t> (Mn)_pH 6.5</a:t>
            </a:r>
            <a:endParaRPr lang="en-Z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pH 6.5: 0.174 l/min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'Yoon nonlinear_Mn'!$B$46:$B$51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nonlinear_Mn'!$C$46:$C$51</c:f>
              <c:numCache>
                <c:formatCode>0.00</c:formatCode>
                <c:ptCount val="6"/>
                <c:pt idx="0">
                  <c:v>7.0000000000000009</c:v>
                </c:pt>
                <c:pt idx="1">
                  <c:v>5.25</c:v>
                </c:pt>
                <c:pt idx="2">
                  <c:v>3.3333333333333335</c:v>
                </c:pt>
                <c:pt idx="3">
                  <c:v>3.5000000000000004</c:v>
                </c:pt>
                <c:pt idx="4">
                  <c:v>4.2</c:v>
                </c:pt>
                <c:pt idx="5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v>pH 6.5 : 0.262 l/min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'Yoon nonlinear_Mn'!$B$46:$B$51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nonlinear_Mn'!$D$46:$D$51</c:f>
              <c:numCache>
                <c:formatCode>0.00</c:formatCode>
                <c:ptCount val="6"/>
                <c:pt idx="0">
                  <c:v>10.5</c:v>
                </c:pt>
                <c:pt idx="1">
                  <c:v>10.5</c:v>
                </c:pt>
                <c:pt idx="2">
                  <c:v>5.6756756756756763</c:v>
                </c:pt>
                <c:pt idx="3">
                  <c:v>7.0000000000000009</c:v>
                </c:pt>
                <c:pt idx="4">
                  <c:v>7.0000000000000009</c:v>
                </c:pt>
                <c:pt idx="5">
                  <c:v>5.6756756756756763</c:v>
                </c:pt>
              </c:numCache>
            </c:numRef>
          </c:val>
          <c:smooth val="0"/>
        </c:ser>
        <c:ser>
          <c:idx val="2"/>
          <c:order val="2"/>
          <c:tx>
            <c:v>pH 6.5 : 0.523l/min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'Yoon nonlinear_Mn'!$B$46:$B$51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nonlinear_Mn'!$E$46:$E$51</c:f>
              <c:numCache>
                <c:formatCode>0.00</c:formatCode>
                <c:ptCount val="6"/>
                <c:pt idx="0">
                  <c:v>0.23809523809523808</c:v>
                </c:pt>
                <c:pt idx="1">
                  <c:v>0.2857142857142857</c:v>
                </c:pt>
                <c:pt idx="2">
                  <c:v>0.3</c:v>
                </c:pt>
                <c:pt idx="3">
                  <c:v>0.2857142857142857</c:v>
                </c:pt>
                <c:pt idx="4">
                  <c:v>0.19047619047619047</c:v>
                </c:pt>
                <c:pt idx="5">
                  <c:v>0.23809523809523808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87912"/>
        <c:axId val="398788696"/>
      </c:lineChart>
      <c:catAx>
        <c:axId val="398787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(min)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88696"/>
        <c:crosses val="autoZero"/>
        <c:auto val="1"/>
        <c:lblAlgn val="ctr"/>
        <c:lblOffset val="100"/>
        <c:noMultiLvlLbl val="0"/>
      </c:catAx>
      <c:valAx>
        <c:axId val="398788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Co/Ct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8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Manganese</a:t>
            </a:r>
            <a:r>
              <a:rPr lang="en-ZA" baseline="0"/>
              <a:t> (Mn)_pH 6.5</a:t>
            </a:r>
            <a:endParaRPr lang="en-Z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pH 6.5 : 0.174 l/min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'Yoon nonlinear_Mn'!$G$46:$G$51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nonlinear_Mn'!$H$46:$H$51</c:f>
              <c:numCache>
                <c:formatCode>0.00</c:formatCode>
                <c:ptCount val="6"/>
                <c:pt idx="0">
                  <c:v>0.14285714285714285</c:v>
                </c:pt>
                <c:pt idx="1">
                  <c:v>0.19047619047619047</c:v>
                </c:pt>
                <c:pt idx="2">
                  <c:v>0.3</c:v>
                </c:pt>
                <c:pt idx="3">
                  <c:v>0.2857142857142857</c:v>
                </c:pt>
                <c:pt idx="4">
                  <c:v>0.23809523809523808</c:v>
                </c:pt>
                <c:pt idx="5">
                  <c:v>0.23809523809523808</c:v>
                </c:pt>
              </c:numCache>
            </c:numRef>
          </c:val>
          <c:smooth val="0"/>
        </c:ser>
        <c:ser>
          <c:idx val="1"/>
          <c:order val="1"/>
          <c:tx>
            <c:v>pH 6.5 : 0.262 l/min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'Yoon nonlinear_Mn'!$G$46:$G$51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nonlinear_Mn'!$I$46:$I$51</c:f>
              <c:numCache>
                <c:formatCode>0.00</c:formatCode>
                <c:ptCount val="6"/>
                <c:pt idx="0">
                  <c:v>9.5238095238095233E-2</c:v>
                </c:pt>
                <c:pt idx="1">
                  <c:v>9.5238095238095233E-2</c:v>
                </c:pt>
                <c:pt idx="2">
                  <c:v>0.17619047619047618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0.17619047619047618</c:v>
                </c:pt>
              </c:numCache>
            </c:numRef>
          </c:val>
          <c:smooth val="0"/>
        </c:ser>
        <c:ser>
          <c:idx val="2"/>
          <c:order val="2"/>
          <c:tx>
            <c:v>pH 6.5 : 0.523l/min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'Yoon nonlinear_Mn'!$G$46:$G$51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nonlinear_Mn'!$J$46:$J$51</c:f>
              <c:numCache>
                <c:formatCode>0.00</c:formatCode>
                <c:ptCount val="6"/>
                <c:pt idx="0">
                  <c:v>0.23809523809523808</c:v>
                </c:pt>
                <c:pt idx="1">
                  <c:v>0.2857142857142857</c:v>
                </c:pt>
                <c:pt idx="2">
                  <c:v>0.3</c:v>
                </c:pt>
                <c:pt idx="3">
                  <c:v>0.2857142857142857</c:v>
                </c:pt>
                <c:pt idx="4">
                  <c:v>0.19047619047619047</c:v>
                </c:pt>
                <c:pt idx="5">
                  <c:v>0.23809523809523808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89872"/>
        <c:axId val="398790264"/>
      </c:lineChart>
      <c:catAx>
        <c:axId val="398789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(min)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90264"/>
        <c:crosses val="autoZero"/>
        <c:auto val="1"/>
        <c:lblAlgn val="ctr"/>
        <c:lblOffset val="100"/>
        <c:noMultiLvlLbl val="0"/>
      </c:catAx>
      <c:valAx>
        <c:axId val="398790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Ct/Co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8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Manganese</a:t>
            </a:r>
            <a:r>
              <a:rPr lang="en-ZA" baseline="0"/>
              <a:t> (Mn)_pH 7.5</a:t>
            </a:r>
            <a:endParaRPr lang="en-Z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pH 7.5 : 0.174 l/min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'Yoon nonlinear_Mn'!$B$88:$B$93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nonlinear_Mn'!$C$88:$C$93</c:f>
              <c:numCache>
                <c:formatCode>0.00</c:formatCode>
                <c:ptCount val="6"/>
                <c:pt idx="0">
                  <c:v>3.9622641509433962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4.4680851063829792</c:v>
                </c:pt>
              </c:numCache>
            </c:numRef>
          </c:val>
          <c:smooth val="0"/>
        </c:ser>
        <c:ser>
          <c:idx val="1"/>
          <c:order val="1"/>
          <c:tx>
            <c:v>pH 7.5 : 0.262 l/min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'Yoon nonlinear_Mn'!$B$88:$B$93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nonlinear_Mn'!$D$88:$D$93</c:f>
              <c:numCache>
                <c:formatCode>0.00</c:formatCode>
                <c:ptCount val="6"/>
                <c:pt idx="0">
                  <c:v>5.6756756756756763</c:v>
                </c:pt>
                <c:pt idx="1">
                  <c:v>7.0000000000000009</c:v>
                </c:pt>
                <c:pt idx="2">
                  <c:v>6.3636363636363633</c:v>
                </c:pt>
                <c:pt idx="3">
                  <c:v>5.25</c:v>
                </c:pt>
                <c:pt idx="4">
                  <c:v>5.25</c:v>
                </c:pt>
                <c:pt idx="5">
                  <c:v>7.0000000000000009</c:v>
                </c:pt>
              </c:numCache>
            </c:numRef>
          </c:val>
          <c:smooth val="0"/>
        </c:ser>
        <c:ser>
          <c:idx val="2"/>
          <c:order val="2"/>
          <c:tx>
            <c:v>pH 7.5 : 0.253 l/min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'Yoon nonlinear_Mn'!$B$88:$B$93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'Yoon nonlinear_Mn'!$E$88:$E$93</c:f>
              <c:numCache>
                <c:formatCode>0.00</c:formatCode>
                <c:ptCount val="6"/>
                <c:pt idx="0">
                  <c:v>4.2</c:v>
                </c:pt>
                <c:pt idx="1">
                  <c:v>3.5000000000000004</c:v>
                </c:pt>
                <c:pt idx="2">
                  <c:v>3.3333333333333335</c:v>
                </c:pt>
                <c:pt idx="3">
                  <c:v>3.5000000000000004</c:v>
                </c:pt>
                <c:pt idx="4">
                  <c:v>5.25</c:v>
                </c:pt>
                <c:pt idx="5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91832"/>
        <c:axId val="398791048"/>
      </c:lineChart>
      <c:catAx>
        <c:axId val="398791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(min)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91048"/>
        <c:crosses val="autoZero"/>
        <c:auto val="1"/>
        <c:lblAlgn val="ctr"/>
        <c:lblOffset val="100"/>
        <c:noMultiLvlLbl val="0"/>
      </c:catAx>
      <c:valAx>
        <c:axId val="398791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Co/Ct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9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26</xdr:row>
      <xdr:rowOff>42861</xdr:rowOff>
    </xdr:from>
    <xdr:to>
      <xdr:col>5</xdr:col>
      <xdr:colOff>828675</xdr:colOff>
      <xdr:row>41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123825</xdr:colOff>
      <xdr:row>26</xdr:row>
      <xdr:rowOff>52387</xdr:rowOff>
    </xdr:from>
    <xdr:to>
      <xdr:col>13</xdr:col>
      <xdr:colOff>28575</xdr:colOff>
      <xdr:row>40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67</xdr:row>
      <xdr:rowOff>128587</xdr:rowOff>
    </xdr:from>
    <xdr:to>
      <xdr:col>5</xdr:col>
      <xdr:colOff>714375</xdr:colOff>
      <xdr:row>82</xdr:row>
      <xdr:rowOff>14287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190500</xdr:colOff>
      <xdr:row>67</xdr:row>
      <xdr:rowOff>128587</xdr:rowOff>
    </xdr:from>
    <xdr:to>
      <xdr:col>11</xdr:col>
      <xdr:colOff>400050</xdr:colOff>
      <xdr:row>82</xdr:row>
      <xdr:rowOff>14287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361950</xdr:colOff>
      <xdr:row>110</xdr:row>
      <xdr:rowOff>4762</xdr:rowOff>
    </xdr:from>
    <xdr:to>
      <xdr:col>6</xdr:col>
      <xdr:colOff>809625</xdr:colOff>
      <xdr:row>124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361950</xdr:colOff>
      <xdr:row>110</xdr:row>
      <xdr:rowOff>4762</xdr:rowOff>
    </xdr:from>
    <xdr:to>
      <xdr:col>13</xdr:col>
      <xdr:colOff>266700</xdr:colOff>
      <xdr:row>124</xdr:row>
      <xdr:rowOff>80962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27</xdr:row>
      <xdr:rowOff>42862</xdr:rowOff>
    </xdr:from>
    <xdr:to>
      <xdr:col>5</xdr:col>
      <xdr:colOff>438150</xdr:colOff>
      <xdr:row>41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27</xdr:row>
      <xdr:rowOff>4762</xdr:rowOff>
    </xdr:from>
    <xdr:to>
      <xdr:col>12</xdr:col>
      <xdr:colOff>38100</xdr:colOff>
      <xdr:row>41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70</xdr:row>
      <xdr:rowOff>52387</xdr:rowOff>
    </xdr:from>
    <xdr:to>
      <xdr:col>5</xdr:col>
      <xdr:colOff>504825</xdr:colOff>
      <xdr:row>84</xdr:row>
      <xdr:rowOff>128587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762000</xdr:colOff>
      <xdr:row>70</xdr:row>
      <xdr:rowOff>61912</xdr:rowOff>
    </xdr:from>
    <xdr:to>
      <xdr:col>11</xdr:col>
      <xdr:colOff>533400</xdr:colOff>
      <xdr:row>84</xdr:row>
      <xdr:rowOff>138112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110</xdr:row>
      <xdr:rowOff>119062</xdr:rowOff>
    </xdr:from>
    <xdr:to>
      <xdr:col>6</xdr:col>
      <xdr:colOff>228600</xdr:colOff>
      <xdr:row>125</xdr:row>
      <xdr:rowOff>4762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581025</xdr:colOff>
      <xdr:row>110</xdr:row>
      <xdr:rowOff>119062</xdr:rowOff>
    </xdr:from>
    <xdr:to>
      <xdr:col>12</xdr:col>
      <xdr:colOff>581025</xdr:colOff>
      <xdr:row>125</xdr:row>
      <xdr:rowOff>4762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_Research%20Compilations\Thesis%20Build%20Up_2022\Results\Results%20&amp;%20Graphs%20Spread%20Sheet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 of 6.5"/>
      <sheetName val="pH of 7.5"/>
      <sheetName val="pH of 8.5"/>
      <sheetName val="Initial Results"/>
      <sheetName val="Graphs"/>
      <sheetName val="First Results Graphs"/>
      <sheetName val="Comparison Graphs %"/>
      <sheetName val="Iron Graphs"/>
      <sheetName val="Manganese Graphs"/>
      <sheetName val="Langmuir Isotherm(Linear)_Fe"/>
      <sheetName val="Langmuir Iso (linear)_Mn"/>
      <sheetName val="Langm Isotherm(non-linear)_Fe"/>
      <sheetName val="Langmuir Iso(non-linear)_Mn"/>
      <sheetName val="Freundlich Isotherm (linear)_Fe"/>
      <sheetName val="Freundlich Iso(linear)_Mn"/>
      <sheetName val="Freundlich Isoth(non-linear)_Fe"/>
      <sheetName val="Freundlich Iso(non-linear)_Mn"/>
      <sheetName val="Temkin Isotherm_Fe"/>
      <sheetName val="Temkin_Fe(nonlinear)"/>
      <sheetName val="Temkin Isotherm_Mn"/>
      <sheetName val="Temkin_Mn(nonlinear)"/>
      <sheetName val="Dubinin Rush Isotherm_Fe"/>
      <sheetName val="Dub_Fe(nonlinear)"/>
      <sheetName val="Dubinin Isotherm_Mn"/>
      <sheetName val="Dub_Mn(nonlinear)"/>
      <sheetName val="Fe_non linear"/>
      <sheetName val="Mn_non linear"/>
      <sheetName val="Pseudo Linear First Order_Fe"/>
      <sheetName val="Pseudo Linear First order_Mn"/>
      <sheetName val="Pseudo non linear First Ord_Fe"/>
      <sheetName val="Pseudo first ord non linear_Mn"/>
      <sheetName val="Pseudo second order linear_Fe"/>
      <sheetName val="Pseudo seco orde linear_Mn"/>
      <sheetName val="Pseudo seco order non-linear_Fe"/>
      <sheetName val="Pseudo non linear Sec_Mn"/>
      <sheetName val="Elovich Kinetic Linear_Fe"/>
      <sheetName val="Elovich Kinetic Linear_Mn"/>
      <sheetName val="Elovich Kinetic non-linear_Fe"/>
      <sheetName val="Elovich Kinetic non linear_Mn"/>
      <sheetName val="Intra Particles (Linear)_Fe"/>
      <sheetName val="Intra Particles linear_Mn"/>
      <sheetName val="Intra Particle non-linear_Fe"/>
      <sheetName val="Intra Particle non_linear_Mn"/>
      <sheetName val="Statistics"/>
      <sheetName val="Error Function_Fe"/>
      <sheetName val="Error Function_M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4">
          <cell r="A34" t="str">
            <v>Iron (mg/l)</v>
          </cell>
        </row>
        <row r="35">
          <cell r="A35" t="str">
            <v>Time (min)</v>
          </cell>
          <cell r="B35">
            <v>6.5</v>
          </cell>
          <cell r="E35">
            <v>7.5</v>
          </cell>
          <cell r="H35">
            <v>8.5</v>
          </cell>
        </row>
        <row r="36">
          <cell r="B36" t="str">
            <v>0,174 (l/min)</v>
          </cell>
          <cell r="C36" t="str">
            <v>0,262 (l/min)</v>
          </cell>
          <cell r="D36" t="str">
            <v>0,523 (l/min)</v>
          </cell>
          <cell r="E36" t="str">
            <v>0,174 (l/min)</v>
          </cell>
          <cell r="F36" t="str">
            <v>0,262 (l/min)</v>
          </cell>
          <cell r="G36" t="str">
            <v>0,523 (l/min)</v>
          </cell>
          <cell r="H36" t="str">
            <v>0,174 (l/min)</v>
          </cell>
          <cell r="I36" t="str">
            <v>0,262 (l/min)</v>
          </cell>
          <cell r="J36" t="str">
            <v>0,523 (l/min)</v>
          </cell>
        </row>
        <row r="37">
          <cell r="B37" t="str">
            <v>1,67 (ml/min)</v>
          </cell>
          <cell r="C37" t="str">
            <v>2,52(ml/min)</v>
          </cell>
          <cell r="D37" t="str">
            <v>5,0 (ml/min)</v>
          </cell>
          <cell r="E37" t="str">
            <v>1,67 (ml/min)</v>
          </cell>
          <cell r="F37" t="str">
            <v>2,52(ml/min)</v>
          </cell>
          <cell r="G37" t="str">
            <v>5,0 (ml/min)</v>
          </cell>
          <cell r="H37" t="str">
            <v>1,67 (ml/min)</v>
          </cell>
          <cell r="I37" t="str">
            <v>2,52(ml/min)</v>
          </cell>
          <cell r="J37" t="str">
            <v>5,0 (ml/min)</v>
          </cell>
        </row>
        <row r="38">
          <cell r="A38">
            <v>10</v>
          </cell>
          <cell r="B38">
            <v>2.5</v>
          </cell>
          <cell r="C38">
            <v>2.8</v>
          </cell>
          <cell r="D38">
            <v>2.2000000000000002</v>
          </cell>
          <cell r="E38">
            <v>1.6</v>
          </cell>
          <cell r="F38">
            <v>1.63</v>
          </cell>
          <cell r="G38">
            <v>1.6</v>
          </cell>
          <cell r="H38">
            <v>1.8966666666666665</v>
          </cell>
          <cell r="I38">
            <v>1.8</v>
          </cell>
          <cell r="J38">
            <v>1.8466666666666667</v>
          </cell>
        </row>
        <row r="39">
          <cell r="A39">
            <v>20</v>
          </cell>
          <cell r="B39">
            <v>1.24</v>
          </cell>
          <cell r="C39">
            <v>2.6</v>
          </cell>
          <cell r="D39">
            <v>2.2000000000000002</v>
          </cell>
          <cell r="E39">
            <v>1.1100000000000001</v>
          </cell>
          <cell r="F39">
            <v>1.2</v>
          </cell>
          <cell r="G39">
            <v>1.5</v>
          </cell>
          <cell r="H39">
            <v>0.90666666666666673</v>
          </cell>
          <cell r="I39">
            <v>1.2766666666666666</v>
          </cell>
          <cell r="J39">
            <v>1.1399999999999999</v>
          </cell>
        </row>
        <row r="40">
          <cell r="A40">
            <v>30</v>
          </cell>
          <cell r="B40">
            <v>1.07</v>
          </cell>
          <cell r="C40">
            <v>2.38</v>
          </cell>
          <cell r="D40">
            <v>2.29</v>
          </cell>
          <cell r="E40">
            <v>0.54</v>
          </cell>
          <cell r="F40">
            <v>0.89</v>
          </cell>
          <cell r="G40">
            <v>1.24</v>
          </cell>
          <cell r="H40">
            <v>0.34999999999999992</v>
          </cell>
          <cell r="I40">
            <v>0.93666666666666665</v>
          </cell>
          <cell r="J40">
            <v>1.01</v>
          </cell>
        </row>
        <row r="41">
          <cell r="A41">
            <v>40</v>
          </cell>
          <cell r="B41">
            <v>1.1000000000000001</v>
          </cell>
          <cell r="C41">
            <v>1.8</v>
          </cell>
          <cell r="D41">
            <v>2.2000000000000002</v>
          </cell>
          <cell r="E41">
            <v>0.44</v>
          </cell>
          <cell r="F41">
            <v>0.9</v>
          </cell>
          <cell r="G41">
            <v>1.2</v>
          </cell>
          <cell r="H41">
            <v>0.19666666666666668</v>
          </cell>
          <cell r="I41">
            <v>0.71333333333333326</v>
          </cell>
          <cell r="J41">
            <v>0.65666666666666673</v>
          </cell>
        </row>
        <row r="42">
          <cell r="A42">
            <v>50</v>
          </cell>
          <cell r="B42">
            <v>1.1499999999999999</v>
          </cell>
          <cell r="C42">
            <v>2</v>
          </cell>
          <cell r="D42">
            <v>2.4</v>
          </cell>
          <cell r="E42">
            <v>0.45</v>
          </cell>
          <cell r="F42">
            <v>0.9</v>
          </cell>
          <cell r="G42">
            <v>1.1000000000000001</v>
          </cell>
          <cell r="H42">
            <v>0.18333333333333335</v>
          </cell>
          <cell r="I42">
            <v>0.57999999999999996</v>
          </cell>
          <cell r="J42">
            <v>0.58333333333333337</v>
          </cell>
        </row>
        <row r="43">
          <cell r="A43">
            <v>60</v>
          </cell>
          <cell r="B43">
            <v>1.3</v>
          </cell>
          <cell r="C43">
            <v>1.71</v>
          </cell>
          <cell r="D43">
            <v>2.56</v>
          </cell>
          <cell r="E43">
            <v>0.42</v>
          </cell>
          <cell r="F43">
            <v>0.89</v>
          </cell>
          <cell r="G43">
            <v>1.1100000000000001</v>
          </cell>
          <cell r="H43">
            <v>0.1466666666666667</v>
          </cell>
          <cell r="I43">
            <v>0.54333333333333333</v>
          </cell>
          <cell r="J43">
            <v>0.60666666666666658</v>
          </cell>
        </row>
      </sheetData>
      <sheetData sheetId="8">
        <row r="34">
          <cell r="C34" t="str">
            <v>Manganese (mg/l)</v>
          </cell>
        </row>
        <row r="35">
          <cell r="C35" t="str">
            <v>Time (min)</v>
          </cell>
          <cell r="D35">
            <v>6.5</v>
          </cell>
          <cell r="G35">
            <v>7.5</v>
          </cell>
          <cell r="J35">
            <v>8.5</v>
          </cell>
        </row>
        <row r="36">
          <cell r="D36" t="str">
            <v>0,174 (l/min)</v>
          </cell>
          <cell r="E36" t="str">
            <v>0,262 (l/min)</v>
          </cell>
          <cell r="F36" t="str">
            <v>0,523 (l/min)</v>
          </cell>
          <cell r="G36" t="str">
            <v>0,174 (l/min)</v>
          </cell>
          <cell r="H36" t="str">
            <v>0,262 (l/min)</v>
          </cell>
          <cell r="I36" t="str">
            <v>0,523 (l/min)</v>
          </cell>
          <cell r="J36" t="str">
            <v>0,174 (l/min)</v>
          </cell>
          <cell r="K36" t="str">
            <v>0,262 (l/min)</v>
          </cell>
          <cell r="L36" t="str">
            <v>0,523 (l/min)</v>
          </cell>
        </row>
        <row r="37">
          <cell r="D37" t="str">
            <v>1,67 (ml/min)</v>
          </cell>
          <cell r="E37" t="str">
            <v>2,52(ml/min)</v>
          </cell>
          <cell r="F37" t="str">
            <v>5,0 (ml/min)</v>
          </cell>
          <cell r="G37" t="str">
            <v>1,67 (ml/min)</v>
          </cell>
          <cell r="H37" t="str">
            <v>2,52(ml/min)</v>
          </cell>
          <cell r="I37" t="str">
            <v>5,0 (ml/min)</v>
          </cell>
          <cell r="J37" t="str">
            <v>1,67 (ml/min)</v>
          </cell>
          <cell r="K37" t="str">
            <v>2,52(ml/min)</v>
          </cell>
          <cell r="L37" t="str">
            <v>5,0 (ml/min)</v>
          </cell>
        </row>
        <row r="38">
          <cell r="C38">
            <v>10</v>
          </cell>
          <cell r="D38">
            <v>0.3</v>
          </cell>
          <cell r="E38">
            <v>0.2</v>
          </cell>
          <cell r="F38">
            <v>0.5</v>
          </cell>
          <cell r="G38">
            <v>0.53</v>
          </cell>
          <cell r="H38">
            <v>0.37</v>
          </cell>
          <cell r="I38">
            <v>0.5</v>
          </cell>
          <cell r="J38">
            <v>0.53333333333333333</v>
          </cell>
          <cell r="K38">
            <v>0.53333333333333333</v>
          </cell>
          <cell r="L38">
            <v>0.6333333333333333</v>
          </cell>
        </row>
        <row r="39">
          <cell r="C39">
            <v>20</v>
          </cell>
          <cell r="D39">
            <v>0.4</v>
          </cell>
          <cell r="E39">
            <v>0.2</v>
          </cell>
          <cell r="F39">
            <v>0.6</v>
          </cell>
          <cell r="G39">
            <v>0.5</v>
          </cell>
          <cell r="H39">
            <v>0.3</v>
          </cell>
          <cell r="I39">
            <v>0.6</v>
          </cell>
          <cell r="J39">
            <v>0.56666666666666676</v>
          </cell>
          <cell r="K39">
            <v>0.5</v>
          </cell>
          <cell r="L39">
            <v>0.5</v>
          </cell>
        </row>
        <row r="40">
          <cell r="C40">
            <v>30</v>
          </cell>
          <cell r="D40">
            <v>0.63</v>
          </cell>
          <cell r="E40">
            <v>0.37</v>
          </cell>
          <cell r="F40">
            <v>0.63</v>
          </cell>
          <cell r="G40">
            <v>0.5</v>
          </cell>
          <cell r="H40">
            <v>0.33</v>
          </cell>
          <cell r="I40">
            <v>0.63</v>
          </cell>
          <cell r="J40">
            <v>0.46666666666666662</v>
          </cell>
          <cell r="K40">
            <v>0.5</v>
          </cell>
          <cell r="L40">
            <v>0.56666666666666676</v>
          </cell>
        </row>
        <row r="41">
          <cell r="C41">
            <v>40</v>
          </cell>
          <cell r="D41">
            <v>0.6</v>
          </cell>
          <cell r="E41">
            <v>0.3</v>
          </cell>
          <cell r="F41">
            <v>0.6</v>
          </cell>
          <cell r="G41">
            <v>0.5</v>
          </cell>
          <cell r="H41">
            <v>0.4</v>
          </cell>
          <cell r="I41">
            <v>0.6</v>
          </cell>
          <cell r="J41">
            <v>0.33333333333333331</v>
          </cell>
          <cell r="K41">
            <v>0.5</v>
          </cell>
          <cell r="L41">
            <v>0.56666666666666676</v>
          </cell>
        </row>
        <row r="42">
          <cell r="C42">
            <v>50</v>
          </cell>
          <cell r="D42">
            <v>0.5</v>
          </cell>
          <cell r="E42">
            <v>0.3</v>
          </cell>
          <cell r="F42">
            <v>0.4</v>
          </cell>
          <cell r="G42">
            <v>0.5</v>
          </cell>
          <cell r="H42">
            <v>0.4</v>
          </cell>
          <cell r="I42">
            <v>0.4</v>
          </cell>
          <cell r="J42">
            <v>0.43333333333333335</v>
          </cell>
          <cell r="K42">
            <v>0.46666666666666662</v>
          </cell>
          <cell r="L42">
            <v>0.6333333333333333</v>
          </cell>
        </row>
        <row r="43">
          <cell r="C43">
            <v>60</v>
          </cell>
          <cell r="D43">
            <v>0.5</v>
          </cell>
          <cell r="E43">
            <v>0.37</v>
          </cell>
          <cell r="F43">
            <v>0.5</v>
          </cell>
          <cell r="G43">
            <v>0.47</v>
          </cell>
          <cell r="H43">
            <v>0.3</v>
          </cell>
          <cell r="I43">
            <v>0.5</v>
          </cell>
          <cell r="J43">
            <v>0.53333333333333333</v>
          </cell>
          <cell r="K43">
            <v>0.53333333333333333</v>
          </cell>
          <cell r="L43">
            <v>0.6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opLeftCell="A79" workbookViewId="0">
      <selection activeCell="N104" sqref="N104"/>
    </sheetView>
  </sheetViews>
  <sheetFormatPr defaultRowHeight="15" x14ac:dyDescent="0.25"/>
  <cols>
    <col min="1" max="1" width="10.7109375" bestFit="1" customWidth="1"/>
    <col min="2" max="2" width="16.5703125" customWidth="1"/>
    <col min="3" max="3" width="12.5703125" bestFit="1" customWidth="1"/>
    <col min="4" max="4" width="12.28515625" bestFit="1" customWidth="1"/>
    <col min="5" max="5" width="13.140625" bestFit="1" customWidth="1"/>
    <col min="6" max="6" width="12.5703125" bestFit="1" customWidth="1"/>
    <col min="7" max="7" width="12.28515625" bestFit="1" customWidth="1"/>
    <col min="8" max="8" width="13.140625" bestFit="1" customWidth="1"/>
    <col min="9" max="9" width="12.5703125" bestFit="1" customWidth="1"/>
    <col min="10" max="10" width="12.28515625" bestFit="1" customWidth="1"/>
    <col min="11" max="11" width="12.5703125" bestFit="1" customWidth="1"/>
    <col min="13" max="13" width="12.7109375" bestFit="1" customWidth="1"/>
  </cols>
  <sheetData>
    <row r="1" spans="1:23" x14ac:dyDescent="0.25">
      <c r="A1" s="28" t="str">
        <f>'[1]Iron Graphs'!A34</f>
        <v>Iron (mg/l)</v>
      </c>
      <c r="B1" s="28"/>
      <c r="C1" s="28"/>
      <c r="D1" s="28"/>
      <c r="E1" s="28"/>
      <c r="F1" s="28"/>
      <c r="G1" s="28"/>
      <c r="H1" s="28"/>
      <c r="I1" s="28"/>
      <c r="J1" s="28"/>
    </row>
    <row r="2" spans="1:23" x14ac:dyDescent="0.25">
      <c r="A2" s="1" t="str">
        <f>'[1]Iron Graphs'!A35</f>
        <v>Time (min)</v>
      </c>
      <c r="B2" s="28">
        <f>'[1]Iron Graphs'!B35</f>
        <v>6.5</v>
      </c>
      <c r="C2" s="28"/>
      <c r="D2" s="28"/>
      <c r="E2" s="28">
        <f>'[1]Iron Graphs'!E35</f>
        <v>7.5</v>
      </c>
      <c r="F2" s="28"/>
      <c r="G2" s="28"/>
      <c r="H2" s="28">
        <f>'[1]Iron Graphs'!H35</f>
        <v>8.5</v>
      </c>
      <c r="I2" s="28"/>
      <c r="J2" s="28"/>
      <c r="L2" t="s">
        <v>21</v>
      </c>
      <c r="M2">
        <v>6690</v>
      </c>
      <c r="N2" t="s">
        <v>22</v>
      </c>
    </row>
    <row r="3" spans="1:23" x14ac:dyDescent="0.25">
      <c r="A3" s="1"/>
      <c r="B3" s="1" t="str">
        <f>'[1]Iron Graphs'!B36</f>
        <v>0,174 (l/min)</v>
      </c>
      <c r="C3" s="1" t="str">
        <f>'[1]Iron Graphs'!C36</f>
        <v>0,262 (l/min)</v>
      </c>
      <c r="D3" s="1" t="str">
        <f>'[1]Iron Graphs'!D36</f>
        <v>0,523 (l/min)</v>
      </c>
      <c r="E3" s="1" t="str">
        <f>'[1]Iron Graphs'!E36</f>
        <v>0,174 (l/min)</v>
      </c>
      <c r="F3" s="1" t="str">
        <f>'[1]Iron Graphs'!F36</f>
        <v>0,262 (l/min)</v>
      </c>
      <c r="G3" s="1" t="str">
        <f>'[1]Iron Graphs'!G36</f>
        <v>0,523 (l/min)</v>
      </c>
      <c r="H3" s="1" t="str">
        <f>'[1]Iron Graphs'!H36</f>
        <v>0,174 (l/min)</v>
      </c>
      <c r="I3" s="1" t="str">
        <f>'[1]Iron Graphs'!I36</f>
        <v>0,262 (l/min)</v>
      </c>
      <c r="J3" s="1" t="str">
        <f>'[1]Iron Graphs'!J36</f>
        <v>0,523 (l/min)</v>
      </c>
      <c r="L3" t="s">
        <v>23</v>
      </c>
      <c r="M3">
        <v>0.17399999999999999</v>
      </c>
      <c r="N3" t="s">
        <v>24</v>
      </c>
    </row>
    <row r="4" spans="1:23" x14ac:dyDescent="0.25">
      <c r="B4" s="2" t="str">
        <f>'[1]Iron Graphs'!B37</f>
        <v>1,67 (ml/min)</v>
      </c>
      <c r="C4" s="2" t="str">
        <f>'[1]Iron Graphs'!C37</f>
        <v>2,52(ml/min)</v>
      </c>
      <c r="D4" s="2" t="str">
        <f>'[1]Iron Graphs'!D37</f>
        <v>5,0 (ml/min)</v>
      </c>
      <c r="E4" s="2" t="str">
        <f>'[1]Iron Graphs'!E37</f>
        <v>1,67 (ml/min)</v>
      </c>
      <c r="F4" s="2" t="str">
        <f>'[1]Iron Graphs'!F37</f>
        <v>2,52(ml/min)</v>
      </c>
      <c r="G4" s="2" t="str">
        <f>'[1]Iron Graphs'!G37</f>
        <v>5,0 (ml/min)</v>
      </c>
      <c r="H4" s="2" t="str">
        <f>'[1]Iron Graphs'!H37</f>
        <v>1,67 (ml/min)</v>
      </c>
      <c r="I4" s="2" t="str">
        <f>'[1]Iron Graphs'!I37</f>
        <v>2,52(ml/min)</v>
      </c>
      <c r="J4" s="2" t="str">
        <f>'[1]Iron Graphs'!J37</f>
        <v>5,0 (ml/min)</v>
      </c>
    </row>
    <row r="5" spans="1:23" x14ac:dyDescent="0.25">
      <c r="A5">
        <f>'[1]Iron Graphs'!A38</f>
        <v>10</v>
      </c>
      <c r="B5" s="2">
        <f>'[1]Iron Graphs'!B38</f>
        <v>2.5</v>
      </c>
      <c r="C5" s="2">
        <f>'[1]Iron Graphs'!C38</f>
        <v>2.8</v>
      </c>
      <c r="D5" s="2">
        <f>'[1]Iron Graphs'!D38</f>
        <v>2.2000000000000002</v>
      </c>
      <c r="E5" s="2">
        <f>'[1]Iron Graphs'!E38</f>
        <v>1.6</v>
      </c>
      <c r="F5" s="2">
        <f>'[1]Iron Graphs'!F38</f>
        <v>1.63</v>
      </c>
      <c r="G5" s="2">
        <f>'[1]Iron Graphs'!G38</f>
        <v>1.6</v>
      </c>
      <c r="H5" s="2">
        <f>'[1]Iron Graphs'!H38</f>
        <v>1.8966666666666665</v>
      </c>
      <c r="I5" s="2">
        <f>'[1]Iron Graphs'!I38</f>
        <v>1.8</v>
      </c>
      <c r="J5" s="2">
        <f>'[1]Iron Graphs'!J38</f>
        <v>1.8466666666666667</v>
      </c>
    </row>
    <row r="6" spans="1:23" x14ac:dyDescent="0.25">
      <c r="A6">
        <f>'[1]Iron Graphs'!A39</f>
        <v>20</v>
      </c>
      <c r="B6" s="2">
        <f>'[1]Iron Graphs'!B39</f>
        <v>1.24</v>
      </c>
      <c r="C6" s="2">
        <f>'[1]Iron Graphs'!C39</f>
        <v>2.6</v>
      </c>
      <c r="D6" s="2">
        <f>'[1]Iron Graphs'!D39</f>
        <v>2.2000000000000002</v>
      </c>
      <c r="E6" s="2">
        <f>'[1]Iron Graphs'!E39</f>
        <v>1.1100000000000001</v>
      </c>
      <c r="F6" s="2">
        <f>'[1]Iron Graphs'!F39</f>
        <v>1.2</v>
      </c>
      <c r="G6" s="2">
        <f>'[1]Iron Graphs'!G39</f>
        <v>1.5</v>
      </c>
      <c r="H6" s="2">
        <f>'[1]Iron Graphs'!H39</f>
        <v>0.90666666666666673</v>
      </c>
      <c r="I6" s="2">
        <f>'[1]Iron Graphs'!I39</f>
        <v>1.2766666666666666</v>
      </c>
      <c r="J6" s="2">
        <f>'[1]Iron Graphs'!J39</f>
        <v>1.1399999999999999</v>
      </c>
    </row>
    <row r="7" spans="1:23" x14ac:dyDescent="0.25">
      <c r="A7">
        <f>'[1]Iron Graphs'!A40</f>
        <v>30</v>
      </c>
      <c r="B7" s="2">
        <f>'[1]Iron Graphs'!B40</f>
        <v>1.07</v>
      </c>
      <c r="C7" s="2">
        <f>'[1]Iron Graphs'!C40</f>
        <v>2.38</v>
      </c>
      <c r="D7" s="2">
        <f>'[1]Iron Graphs'!D40</f>
        <v>2.29</v>
      </c>
      <c r="E7" s="2">
        <f>'[1]Iron Graphs'!E40</f>
        <v>0.54</v>
      </c>
      <c r="F7" s="2">
        <f>'[1]Iron Graphs'!F40</f>
        <v>0.89</v>
      </c>
      <c r="G7" s="2">
        <f>'[1]Iron Graphs'!G40</f>
        <v>1.24</v>
      </c>
      <c r="H7" s="2">
        <f>'[1]Iron Graphs'!H40</f>
        <v>0.34999999999999992</v>
      </c>
      <c r="I7" s="2">
        <f>'[1]Iron Graphs'!I40</f>
        <v>0.93666666666666665</v>
      </c>
      <c r="J7" s="2">
        <f>'[1]Iron Graphs'!J40</f>
        <v>1.01</v>
      </c>
    </row>
    <row r="8" spans="1:23" x14ac:dyDescent="0.25">
      <c r="A8">
        <f>'[1]Iron Graphs'!A41</f>
        <v>40</v>
      </c>
      <c r="B8" s="2">
        <f>'[1]Iron Graphs'!B41</f>
        <v>1.1000000000000001</v>
      </c>
      <c r="C8" s="2">
        <f>'[1]Iron Graphs'!C41</f>
        <v>1.8</v>
      </c>
      <c r="D8" s="2">
        <f>'[1]Iron Graphs'!D41</f>
        <v>2.2000000000000002</v>
      </c>
      <c r="E8" s="2">
        <f>'[1]Iron Graphs'!E41</f>
        <v>0.44</v>
      </c>
      <c r="F8" s="2">
        <f>'[1]Iron Graphs'!F41</f>
        <v>0.9</v>
      </c>
      <c r="G8" s="2">
        <f>'[1]Iron Graphs'!G41</f>
        <v>1.2</v>
      </c>
      <c r="H8" s="2">
        <f>'[1]Iron Graphs'!H41</f>
        <v>0.19666666666666668</v>
      </c>
      <c r="I8" s="2">
        <f>'[1]Iron Graphs'!I41</f>
        <v>0.71333333333333326</v>
      </c>
      <c r="J8" s="2">
        <f>'[1]Iron Graphs'!J41</f>
        <v>0.65666666666666673</v>
      </c>
    </row>
    <row r="9" spans="1:23" x14ac:dyDescent="0.25">
      <c r="A9">
        <f>'[1]Iron Graphs'!A42</f>
        <v>50</v>
      </c>
      <c r="B9" s="2">
        <f>'[1]Iron Graphs'!B42</f>
        <v>1.1499999999999999</v>
      </c>
      <c r="C9" s="2">
        <f>'[1]Iron Graphs'!C42</f>
        <v>2</v>
      </c>
      <c r="D9" s="2">
        <f>'[1]Iron Graphs'!D42</f>
        <v>2.4</v>
      </c>
      <c r="E9" s="2">
        <f>'[1]Iron Graphs'!E42</f>
        <v>0.45</v>
      </c>
      <c r="F9" s="2">
        <f>'[1]Iron Graphs'!F42</f>
        <v>0.9</v>
      </c>
      <c r="G9" s="2">
        <f>'[1]Iron Graphs'!G42</f>
        <v>1.1000000000000001</v>
      </c>
      <c r="H9" s="2">
        <f>'[1]Iron Graphs'!H42</f>
        <v>0.18333333333333335</v>
      </c>
      <c r="I9" s="2">
        <f>'[1]Iron Graphs'!I42</f>
        <v>0.57999999999999996</v>
      </c>
      <c r="J9" s="2">
        <f>'[1]Iron Graphs'!J42</f>
        <v>0.58333333333333337</v>
      </c>
    </row>
    <row r="10" spans="1:23" x14ac:dyDescent="0.25">
      <c r="A10">
        <f>'[1]Iron Graphs'!A43</f>
        <v>60</v>
      </c>
      <c r="B10" s="2">
        <f>'[1]Iron Graphs'!B43</f>
        <v>1.3</v>
      </c>
      <c r="C10" s="2">
        <f>'[1]Iron Graphs'!C43</f>
        <v>1.71</v>
      </c>
      <c r="D10" s="2">
        <f>'[1]Iron Graphs'!D43</f>
        <v>2.56</v>
      </c>
      <c r="E10" s="2">
        <f>'[1]Iron Graphs'!E43</f>
        <v>0.42</v>
      </c>
      <c r="F10" s="2">
        <f>'[1]Iron Graphs'!F43</f>
        <v>0.89</v>
      </c>
      <c r="G10" s="2">
        <f>'[1]Iron Graphs'!G43</f>
        <v>1.1100000000000001</v>
      </c>
      <c r="H10" s="2">
        <f>'[1]Iron Graphs'!H43</f>
        <v>0.1466666666666667</v>
      </c>
      <c r="I10" s="2">
        <f>'[1]Iron Graphs'!I43</f>
        <v>0.54333333333333333</v>
      </c>
      <c r="J10" s="2">
        <f>'[1]Iron Graphs'!J43</f>
        <v>0.60666666666666658</v>
      </c>
    </row>
    <row r="13" spans="1:23" x14ac:dyDescent="0.25">
      <c r="A13" t="s">
        <v>21</v>
      </c>
      <c r="B13">
        <v>6690</v>
      </c>
      <c r="C13" t="s">
        <v>22</v>
      </c>
    </row>
    <row r="14" spans="1:23" x14ac:dyDescent="0.25">
      <c r="A14" t="s">
        <v>23</v>
      </c>
      <c r="B14">
        <v>0.17399999999999999</v>
      </c>
      <c r="C14" t="s">
        <v>24</v>
      </c>
      <c r="E14" s="1"/>
    </row>
    <row r="15" spans="1:23" x14ac:dyDescent="0.25">
      <c r="A15" s="28">
        <v>6.5</v>
      </c>
      <c r="B15" s="28"/>
      <c r="C15" s="28"/>
      <c r="D15" s="28"/>
      <c r="E15" s="28"/>
      <c r="F15" s="28"/>
      <c r="J15" s="28">
        <v>6.5</v>
      </c>
      <c r="K15" s="28"/>
      <c r="L15" s="28"/>
      <c r="M15" s="28"/>
      <c r="N15" s="28"/>
      <c r="O15" s="28"/>
      <c r="R15" s="28">
        <v>6.5</v>
      </c>
      <c r="S15" s="28"/>
      <c r="T15" s="28"/>
      <c r="U15" s="28"/>
      <c r="V15" s="28"/>
      <c r="W15" s="28"/>
    </row>
    <row r="16" spans="1:23" x14ac:dyDescent="0.25">
      <c r="B16" s="7" t="s">
        <v>25</v>
      </c>
      <c r="E16" s="2"/>
      <c r="K16" s="1" t="s">
        <v>27</v>
      </c>
      <c r="N16" s="2"/>
      <c r="S16" s="1" t="s">
        <v>29</v>
      </c>
      <c r="V16" s="2"/>
    </row>
    <row r="17" spans="1:23" x14ac:dyDescent="0.25">
      <c r="B17" s="7" t="s">
        <v>26</v>
      </c>
      <c r="E17" s="2"/>
      <c r="K17" s="1" t="s">
        <v>28</v>
      </c>
      <c r="N17" s="2"/>
      <c r="S17" s="1" t="s">
        <v>30</v>
      </c>
      <c r="V17" s="2"/>
    </row>
    <row r="18" spans="1:23" x14ac:dyDescent="0.25">
      <c r="D18" t="s">
        <v>4</v>
      </c>
      <c r="E18" t="s">
        <v>5</v>
      </c>
      <c r="M18" t="s">
        <v>4</v>
      </c>
      <c r="N18" t="s">
        <v>5</v>
      </c>
      <c r="U18" t="s">
        <v>4</v>
      </c>
      <c r="V18" t="s">
        <v>5</v>
      </c>
    </row>
    <row r="19" spans="1:23" ht="18" x14ac:dyDescent="0.35">
      <c r="A19" t="s">
        <v>0</v>
      </c>
      <c r="B19" t="s">
        <v>1</v>
      </c>
      <c r="C19" t="s">
        <v>2</v>
      </c>
      <c r="D19" t="s">
        <v>3</v>
      </c>
      <c r="E19" t="s">
        <v>13</v>
      </c>
      <c r="F19" t="s">
        <v>9</v>
      </c>
      <c r="J19" t="s">
        <v>0</v>
      </c>
      <c r="K19" t="s">
        <v>1</v>
      </c>
      <c r="L19" t="s">
        <v>2</v>
      </c>
      <c r="M19" t="s">
        <v>3</v>
      </c>
      <c r="N19" t="s">
        <v>13</v>
      </c>
      <c r="O19" t="s">
        <v>9</v>
      </c>
      <c r="R19" t="s">
        <v>0</v>
      </c>
      <c r="S19" t="s">
        <v>1</v>
      </c>
      <c r="T19" t="s">
        <v>2</v>
      </c>
      <c r="U19" t="s">
        <v>3</v>
      </c>
      <c r="V19" t="s">
        <v>13</v>
      </c>
      <c r="W19" t="s">
        <v>9</v>
      </c>
    </row>
    <row r="20" spans="1:23" x14ac:dyDescent="0.25">
      <c r="A20">
        <v>10</v>
      </c>
      <c r="B20">
        <v>2.1</v>
      </c>
      <c r="C20" s="3">
        <f>B5</f>
        <v>2.5</v>
      </c>
      <c r="D20" t="e">
        <f t="shared" ref="D20:D25" si="0">LN(C20/(B20-C20))</f>
        <v>#NUM!</v>
      </c>
      <c r="E20">
        <f>(($C$29*A20)-($C$29*$D$29))</f>
        <v>-3.9130227891115754E-2</v>
      </c>
      <c r="F20" t="s">
        <v>10</v>
      </c>
      <c r="J20">
        <v>10</v>
      </c>
      <c r="K20">
        <v>2.1</v>
      </c>
      <c r="L20" s="3">
        <f>C5</f>
        <v>2.8</v>
      </c>
      <c r="M20" t="e">
        <f>LN(L20/(K20-L20))</f>
        <v>#NUM!</v>
      </c>
      <c r="N20" t="e">
        <f t="shared" ref="N20:N25" si="1">(($L$29*J20)-($L$29*$M$29))</f>
        <v>#N/A</v>
      </c>
      <c r="O20" t="s">
        <v>10</v>
      </c>
      <c r="R20">
        <v>10</v>
      </c>
      <c r="S20">
        <v>2.1</v>
      </c>
      <c r="T20" s="3">
        <f>D5</f>
        <v>2.2000000000000002</v>
      </c>
      <c r="U20" t="e">
        <f>LN(T20/(S20-T20))</f>
        <v>#NUM!</v>
      </c>
      <c r="V20" t="e">
        <f>(($T$29*R20)-($T$29*$U$29))</f>
        <v>#NUM!</v>
      </c>
      <c r="W20" t="s">
        <v>10</v>
      </c>
    </row>
    <row r="21" spans="1:23" x14ac:dyDescent="0.25">
      <c r="A21">
        <v>20</v>
      </c>
      <c r="B21">
        <v>2.1</v>
      </c>
      <c r="C21" s="3">
        <f t="shared" ref="C21:C25" si="2">B6</f>
        <v>1.24</v>
      </c>
      <c r="D21">
        <f t="shared" si="0"/>
        <v>0.36593426935152906</v>
      </c>
      <c r="E21">
        <f t="shared" ref="E21:E25" si="3">(($C$29*A21)-($C$29*$D$29))</f>
        <v>8.0020447962458885E-5</v>
      </c>
      <c r="F21" s="4" t="s">
        <v>11</v>
      </c>
      <c r="J21">
        <v>20</v>
      </c>
      <c r="K21">
        <v>2.1</v>
      </c>
      <c r="L21" s="3">
        <f t="shared" ref="L21:L25" si="4">C6</f>
        <v>2.6</v>
      </c>
      <c r="M21" t="e">
        <f t="shared" ref="M21:M25" si="5">LN(L21/(K21-L21))</f>
        <v>#NUM!</v>
      </c>
      <c r="N21" t="e">
        <f t="shared" si="1"/>
        <v>#N/A</v>
      </c>
      <c r="O21" s="4" t="s">
        <v>11</v>
      </c>
      <c r="R21">
        <v>20</v>
      </c>
      <c r="S21">
        <v>2.1</v>
      </c>
      <c r="T21" s="3">
        <f t="shared" ref="T21:T25" si="6">D6</f>
        <v>2.2000000000000002</v>
      </c>
      <c r="U21" t="e">
        <f t="shared" ref="U21:U25" si="7">LN(T21/(S21-T21))</f>
        <v>#NUM!</v>
      </c>
      <c r="V21" t="e">
        <f t="shared" ref="V21:V25" si="8">(($T$29*R21)-($T$29*$U$29))</f>
        <v>#NUM!</v>
      </c>
      <c r="W21" s="4" t="s">
        <v>11</v>
      </c>
    </row>
    <row r="22" spans="1:23" x14ac:dyDescent="0.25">
      <c r="A22">
        <v>30</v>
      </c>
      <c r="B22">
        <v>2.1</v>
      </c>
      <c r="C22" s="3">
        <f t="shared" si="2"/>
        <v>1.07</v>
      </c>
      <c r="D22">
        <f t="shared" si="0"/>
        <v>3.8099846232270383E-2</v>
      </c>
      <c r="E22">
        <f t="shared" si="3"/>
        <v>3.9290268787040686E-2</v>
      </c>
      <c r="J22">
        <v>30</v>
      </c>
      <c r="K22">
        <v>2.1</v>
      </c>
      <c r="L22" s="3">
        <f t="shared" si="4"/>
        <v>2.38</v>
      </c>
      <c r="M22" t="e">
        <f t="shared" si="5"/>
        <v>#NUM!</v>
      </c>
      <c r="N22" t="e">
        <f t="shared" si="1"/>
        <v>#N/A</v>
      </c>
      <c r="R22">
        <v>30</v>
      </c>
      <c r="S22">
        <v>2.1</v>
      </c>
      <c r="T22" s="3">
        <f t="shared" si="6"/>
        <v>2.29</v>
      </c>
      <c r="U22" t="e">
        <f t="shared" si="7"/>
        <v>#NUM!</v>
      </c>
      <c r="V22" t="e">
        <f t="shared" si="8"/>
        <v>#NUM!</v>
      </c>
    </row>
    <row r="23" spans="1:23" x14ac:dyDescent="0.25">
      <c r="A23">
        <v>40</v>
      </c>
      <c r="B23">
        <v>2.1</v>
      </c>
      <c r="C23" s="3">
        <f t="shared" si="2"/>
        <v>1.1000000000000001</v>
      </c>
      <c r="D23">
        <f t="shared" si="0"/>
        <v>9.5310179804324935E-2</v>
      </c>
      <c r="E23">
        <f t="shared" si="3"/>
        <v>7.8500517126118885E-2</v>
      </c>
      <c r="J23">
        <v>40</v>
      </c>
      <c r="K23">
        <v>2.1</v>
      </c>
      <c r="L23" s="3">
        <f t="shared" si="4"/>
        <v>1.8</v>
      </c>
      <c r="M23">
        <f>LN(L23/(K23-L23))</f>
        <v>1.791759469228055</v>
      </c>
      <c r="N23" t="e">
        <f t="shared" si="1"/>
        <v>#N/A</v>
      </c>
      <c r="R23">
        <v>40</v>
      </c>
      <c r="S23">
        <v>2.1</v>
      </c>
      <c r="T23" s="3">
        <f t="shared" si="6"/>
        <v>2.2000000000000002</v>
      </c>
      <c r="U23" t="e">
        <f t="shared" si="7"/>
        <v>#NUM!</v>
      </c>
      <c r="V23" t="e">
        <f t="shared" si="8"/>
        <v>#NUM!</v>
      </c>
    </row>
    <row r="24" spans="1:23" x14ac:dyDescent="0.25">
      <c r="A24">
        <v>50</v>
      </c>
      <c r="B24">
        <v>2.1</v>
      </c>
      <c r="C24" s="3">
        <f t="shared" si="2"/>
        <v>1.1499999999999999</v>
      </c>
      <c r="D24">
        <f t="shared" si="0"/>
        <v>0.19105523676270902</v>
      </c>
      <c r="E24">
        <f t="shared" si="3"/>
        <v>0.11771076546519713</v>
      </c>
      <c r="J24">
        <v>50</v>
      </c>
      <c r="K24">
        <v>2.1</v>
      </c>
      <c r="L24" s="3">
        <f t="shared" si="4"/>
        <v>2</v>
      </c>
      <c r="M24">
        <f t="shared" si="5"/>
        <v>2.99573227355399</v>
      </c>
      <c r="N24" t="e">
        <f t="shared" si="1"/>
        <v>#N/A</v>
      </c>
      <c r="R24">
        <v>50</v>
      </c>
      <c r="S24">
        <v>2.1</v>
      </c>
      <c r="T24" s="3">
        <f t="shared" si="6"/>
        <v>2.4</v>
      </c>
      <c r="U24" t="e">
        <f t="shared" si="7"/>
        <v>#NUM!</v>
      </c>
      <c r="V24" t="e">
        <f t="shared" si="8"/>
        <v>#NUM!</v>
      </c>
    </row>
    <row r="25" spans="1:23" x14ac:dyDescent="0.25">
      <c r="A25">
        <f>A10</f>
        <v>60</v>
      </c>
      <c r="B25">
        <v>2.1</v>
      </c>
      <c r="C25" s="3">
        <f t="shared" si="2"/>
        <v>1.3</v>
      </c>
      <c r="D25">
        <f t="shared" si="0"/>
        <v>0.48550781578170082</v>
      </c>
      <c r="E25">
        <f t="shared" si="3"/>
        <v>0.15692101380427534</v>
      </c>
      <c r="J25">
        <v>60</v>
      </c>
      <c r="K25">
        <v>2.1</v>
      </c>
      <c r="L25" s="3">
        <f t="shared" si="4"/>
        <v>1.71</v>
      </c>
      <c r="M25">
        <f t="shared" si="5"/>
        <v>1.4781019103730131</v>
      </c>
      <c r="N25" t="e">
        <f t="shared" si="1"/>
        <v>#N/A</v>
      </c>
      <c r="R25">
        <f>R10</f>
        <v>0</v>
      </c>
      <c r="S25">
        <v>2.1</v>
      </c>
      <c r="T25" s="3">
        <f t="shared" si="6"/>
        <v>2.56</v>
      </c>
      <c r="U25" t="e">
        <f t="shared" si="7"/>
        <v>#NUM!</v>
      </c>
      <c r="V25" t="e">
        <f t="shared" si="8"/>
        <v>#NUM!</v>
      </c>
    </row>
    <row r="28" spans="1:23" x14ac:dyDescent="0.25">
      <c r="A28" t="s">
        <v>6</v>
      </c>
      <c r="B28" t="s">
        <v>7</v>
      </c>
      <c r="C28" t="s">
        <v>8</v>
      </c>
      <c r="D28" s="4" t="s">
        <v>12</v>
      </c>
      <c r="J28" t="s">
        <v>6</v>
      </c>
      <c r="K28" t="s">
        <v>7</v>
      </c>
      <c r="L28" t="s">
        <v>8</v>
      </c>
      <c r="M28" s="4" t="s">
        <v>12</v>
      </c>
      <c r="R28" t="s">
        <v>6</v>
      </c>
      <c r="S28" t="s">
        <v>7</v>
      </c>
      <c r="T28" t="s">
        <v>8</v>
      </c>
      <c r="U28" s="4" t="s">
        <v>12</v>
      </c>
    </row>
    <row r="29" spans="1:23" x14ac:dyDescent="0.25">
      <c r="A29">
        <f>SLOPE(D21:D25,A21:A25)</f>
        <v>3.9210248339078217E-3</v>
      </c>
      <c r="B29">
        <f>INTERCEPT(D21:D25,A21:A25)</f>
        <v>7.8340476230193967E-2</v>
      </c>
      <c r="C29">
        <f>A29</f>
        <v>3.9210248339078217E-3</v>
      </c>
      <c r="D29">
        <f>B29/C29</f>
        <v>19.979591955840096</v>
      </c>
      <c r="J29" t="e">
        <f>SLOPE(M23:M25,J21:J25)</f>
        <v>#N/A</v>
      </c>
      <c r="K29" t="e">
        <f>INTERCEPT(M21:M25,J21:J25)</f>
        <v>#NUM!</v>
      </c>
      <c r="L29" t="e">
        <f>J29</f>
        <v>#N/A</v>
      </c>
      <c r="M29" t="e">
        <f>K29/L29</f>
        <v>#NUM!</v>
      </c>
      <c r="R29" t="e">
        <f>SLOPE(U21:U25,R21:R25)</f>
        <v>#NUM!</v>
      </c>
      <c r="S29" t="e">
        <f>INTERCEPT(U21:U25,R21:R25)</f>
        <v>#NUM!</v>
      </c>
      <c r="T29" t="e">
        <f>R29</f>
        <v>#NUM!</v>
      </c>
      <c r="U29" t="e">
        <f>S29/T29</f>
        <v>#NUM!</v>
      </c>
    </row>
    <row r="33" spans="1:6" x14ac:dyDescent="0.25">
      <c r="A33" t="s">
        <v>17</v>
      </c>
      <c r="E33" t="s">
        <v>18</v>
      </c>
      <c r="F33" t="s">
        <v>19</v>
      </c>
    </row>
    <row r="34" spans="1:6" x14ac:dyDescent="0.25">
      <c r="A34" t="s">
        <v>14</v>
      </c>
      <c r="E34" t="s">
        <v>15</v>
      </c>
    </row>
    <row r="35" spans="1:6" x14ac:dyDescent="0.25">
      <c r="A35" t="s">
        <v>16</v>
      </c>
      <c r="E35" t="s">
        <v>20</v>
      </c>
    </row>
    <row r="49" spans="1:23" x14ac:dyDescent="0.25">
      <c r="A49" s="28">
        <v>7.5</v>
      </c>
      <c r="B49" s="28"/>
      <c r="C49" s="28"/>
      <c r="D49" s="28"/>
      <c r="E49" s="28"/>
      <c r="F49" s="28"/>
      <c r="J49" s="28">
        <v>7.5</v>
      </c>
      <c r="K49" s="28"/>
      <c r="L49" s="28"/>
      <c r="M49" s="28"/>
      <c r="N49" s="28"/>
      <c r="O49" s="28"/>
      <c r="R49" s="28">
        <v>7.5</v>
      </c>
      <c r="S49" s="28"/>
      <c r="T49" s="28"/>
      <c r="U49" s="28"/>
      <c r="V49" s="28"/>
      <c r="W49" s="28"/>
    </row>
    <row r="50" spans="1:23" x14ac:dyDescent="0.25">
      <c r="B50" s="1" t="s">
        <v>25</v>
      </c>
      <c r="E50" s="2"/>
      <c r="K50" s="1" t="s">
        <v>27</v>
      </c>
      <c r="N50" s="2"/>
      <c r="S50" s="1" t="s">
        <v>29</v>
      </c>
      <c r="V50" s="2"/>
    </row>
    <row r="51" spans="1:23" x14ac:dyDescent="0.25">
      <c r="B51" s="1" t="s">
        <v>26</v>
      </c>
      <c r="E51" s="2"/>
      <c r="K51" s="1" t="s">
        <v>28</v>
      </c>
      <c r="N51" s="2"/>
      <c r="S51" s="1" t="s">
        <v>30</v>
      </c>
      <c r="V51" s="2"/>
    </row>
    <row r="52" spans="1:23" x14ac:dyDescent="0.25">
      <c r="D52" t="s">
        <v>4</v>
      </c>
      <c r="E52" t="s">
        <v>5</v>
      </c>
      <c r="M52" t="s">
        <v>4</v>
      </c>
      <c r="N52" t="s">
        <v>5</v>
      </c>
      <c r="U52" t="s">
        <v>4</v>
      </c>
      <c r="V52" t="s">
        <v>5</v>
      </c>
    </row>
    <row r="53" spans="1:23" ht="18" x14ac:dyDescent="0.35">
      <c r="A53" t="s">
        <v>0</v>
      </c>
      <c r="B53" t="s">
        <v>1</v>
      </c>
      <c r="C53" t="s">
        <v>2</v>
      </c>
      <c r="D53" t="s">
        <v>3</v>
      </c>
      <c r="E53" t="s">
        <v>13</v>
      </c>
      <c r="F53" t="s">
        <v>9</v>
      </c>
      <c r="J53" t="s">
        <v>0</v>
      </c>
      <c r="K53" t="s">
        <v>1</v>
      </c>
      <c r="L53" t="s">
        <v>2</v>
      </c>
      <c r="M53" t="s">
        <v>3</v>
      </c>
      <c r="N53" t="s">
        <v>13</v>
      </c>
      <c r="O53" t="s">
        <v>9</v>
      </c>
      <c r="R53" t="s">
        <v>0</v>
      </c>
      <c r="S53" t="s">
        <v>1</v>
      </c>
      <c r="T53" t="s">
        <v>2</v>
      </c>
      <c r="U53" t="s">
        <v>3</v>
      </c>
      <c r="V53" t="s">
        <v>13</v>
      </c>
      <c r="W53" t="s">
        <v>9</v>
      </c>
    </row>
    <row r="54" spans="1:23" x14ac:dyDescent="0.25">
      <c r="A54">
        <v>10</v>
      </c>
      <c r="B54">
        <v>2.1</v>
      </c>
      <c r="C54" s="3">
        <f>E5</f>
        <v>1.6</v>
      </c>
      <c r="D54">
        <f t="shared" ref="D54:D59" si="9">LN(C54/(B54-C54))</f>
        <v>1.1631508098056809</v>
      </c>
      <c r="E54">
        <f>(($C$63*A54)-($C$63*$D$63))</f>
        <v>0.76759826731533554</v>
      </c>
      <c r="F54" t="s">
        <v>10</v>
      </c>
      <c r="J54">
        <v>10</v>
      </c>
      <c r="K54">
        <v>2.1</v>
      </c>
      <c r="L54" s="3">
        <f>F5</f>
        <v>1.63</v>
      </c>
      <c r="M54">
        <f t="shared" ref="M54:M59" si="10">LN(L54/(K54-L54))</f>
        <v>1.2436025990967032</v>
      </c>
      <c r="N54">
        <f>(($L$63*J54)-($L$63*$M$63))</f>
        <v>-0.40470211177377491</v>
      </c>
      <c r="O54" t="s">
        <v>10</v>
      </c>
      <c r="R54">
        <v>10</v>
      </c>
      <c r="S54">
        <v>2.1</v>
      </c>
      <c r="T54" s="3">
        <f>G5</f>
        <v>1.6</v>
      </c>
      <c r="U54">
        <f t="shared" ref="U54:U59" si="11">LN(T54/(S54-T54))</f>
        <v>1.1631508098056809</v>
      </c>
      <c r="V54">
        <f>(($T$63*R54)-($T$63*$U$63))</f>
        <v>-1.2931179464019193</v>
      </c>
      <c r="W54" t="s">
        <v>10</v>
      </c>
    </row>
    <row r="55" spans="1:23" x14ac:dyDescent="0.25">
      <c r="A55">
        <v>20</v>
      </c>
      <c r="B55">
        <v>2.1</v>
      </c>
      <c r="C55" s="3">
        <f t="shared" ref="C55:C59" si="12">E6</f>
        <v>1.1100000000000001</v>
      </c>
      <c r="D55">
        <f t="shared" si="9"/>
        <v>0.11441035117774431</v>
      </c>
      <c r="E55">
        <f t="shared" ref="E55:E59" si="13">(($C$63*A55)-($C$63*$D$63))</f>
        <v>0.70855375296695267</v>
      </c>
      <c r="F55" s="4" t="s">
        <v>11</v>
      </c>
      <c r="J55">
        <v>20</v>
      </c>
      <c r="K55">
        <v>2.1</v>
      </c>
      <c r="L55" s="3">
        <f t="shared" ref="L55:L59" si="14">F6</f>
        <v>1.2</v>
      </c>
      <c r="M55">
        <f t="shared" si="10"/>
        <v>0.28768207245178068</v>
      </c>
      <c r="N55">
        <f t="shared" ref="N55:N59" si="15">(($L$63*J55)-($L$63*$M$63))</f>
        <v>-0.52172215109576925</v>
      </c>
      <c r="O55" s="4" t="s">
        <v>11</v>
      </c>
      <c r="R55">
        <v>20</v>
      </c>
      <c r="S55">
        <v>2.1</v>
      </c>
      <c r="T55" s="3">
        <f t="shared" ref="T55:T59" si="16">G6</f>
        <v>1.5</v>
      </c>
      <c r="U55">
        <f t="shared" si="11"/>
        <v>0.91629073187415488</v>
      </c>
      <c r="V55">
        <f t="shared" ref="V55:V59" si="17">(($T$63*R55)-($T$63*$U$63))</f>
        <v>-1.4805564314959219</v>
      </c>
      <c r="W55" s="4" t="s">
        <v>11</v>
      </c>
    </row>
    <row r="56" spans="1:23" x14ac:dyDescent="0.25">
      <c r="A56">
        <v>30</v>
      </c>
      <c r="B56">
        <v>2.1</v>
      </c>
      <c r="C56" s="3">
        <f t="shared" si="12"/>
        <v>0.54</v>
      </c>
      <c r="D56">
        <f t="shared" si="9"/>
        <v>-1.0608719606852628</v>
      </c>
      <c r="E56">
        <f t="shared" si="13"/>
        <v>0.64950923861856991</v>
      </c>
      <c r="J56">
        <v>30</v>
      </c>
      <c r="K56">
        <v>2.1</v>
      </c>
      <c r="L56" s="3">
        <f t="shared" si="14"/>
        <v>0.89</v>
      </c>
      <c r="M56">
        <f t="shared" si="10"/>
        <v>-0.30715417586460125</v>
      </c>
      <c r="N56">
        <f t="shared" si="15"/>
        <v>-0.63874219041776359</v>
      </c>
      <c r="R56">
        <v>30</v>
      </c>
      <c r="S56">
        <v>2.1</v>
      </c>
      <c r="T56" s="3">
        <f t="shared" si="16"/>
        <v>1.24</v>
      </c>
      <c r="U56">
        <f t="shared" si="11"/>
        <v>0.36593426935152906</v>
      </c>
      <c r="V56">
        <f t="shared" si="17"/>
        <v>-1.6679949165899244</v>
      </c>
    </row>
    <row r="57" spans="1:23" x14ac:dyDescent="0.25">
      <c r="A57">
        <v>40</v>
      </c>
      <c r="B57">
        <v>2.1</v>
      </c>
      <c r="C57" s="3">
        <f t="shared" si="12"/>
        <v>0.44</v>
      </c>
      <c r="D57">
        <f t="shared" si="9"/>
        <v>-1.3277981544382822</v>
      </c>
      <c r="E57">
        <f t="shared" si="13"/>
        <v>0.59046472427018704</v>
      </c>
      <c r="J57">
        <v>40</v>
      </c>
      <c r="K57">
        <v>2.1</v>
      </c>
      <c r="L57" s="3">
        <f t="shared" si="14"/>
        <v>0.9</v>
      </c>
      <c r="M57">
        <f t="shared" si="10"/>
        <v>-0.28768207245178107</v>
      </c>
      <c r="N57">
        <f t="shared" si="15"/>
        <v>-0.75576222973975793</v>
      </c>
      <c r="R57">
        <v>40</v>
      </c>
      <c r="S57">
        <v>2.1</v>
      </c>
      <c r="T57" s="3">
        <f t="shared" si="16"/>
        <v>1.2</v>
      </c>
      <c r="U57">
        <f t="shared" si="11"/>
        <v>0.28768207245178068</v>
      </c>
      <c r="V57">
        <f t="shared" si="17"/>
        <v>-1.8554334016839269</v>
      </c>
    </row>
    <row r="58" spans="1:23" x14ac:dyDescent="0.25">
      <c r="A58">
        <v>50</v>
      </c>
      <c r="B58">
        <v>2.1</v>
      </c>
      <c r="C58" s="3">
        <f t="shared" si="12"/>
        <v>0.45</v>
      </c>
      <c r="D58">
        <f t="shared" si="9"/>
        <v>-1.2992829841302609</v>
      </c>
      <c r="E58">
        <f t="shared" si="13"/>
        <v>0.53142020992180417</v>
      </c>
      <c r="J58">
        <v>50</v>
      </c>
      <c r="K58">
        <v>2.1</v>
      </c>
      <c r="L58" s="3">
        <f t="shared" si="14"/>
        <v>0.9</v>
      </c>
      <c r="M58">
        <f t="shared" si="10"/>
        <v>-0.28768207245178107</v>
      </c>
      <c r="N58">
        <f t="shared" si="15"/>
        <v>-0.87278226906175227</v>
      </c>
      <c r="R58">
        <v>50</v>
      </c>
      <c r="S58">
        <v>2.1</v>
      </c>
      <c r="T58" s="3">
        <f t="shared" si="16"/>
        <v>1.1000000000000001</v>
      </c>
      <c r="U58">
        <f t="shared" si="11"/>
        <v>9.5310179804324935E-2</v>
      </c>
      <c r="V58">
        <f t="shared" si="17"/>
        <v>-2.0428718867779292</v>
      </c>
    </row>
    <row r="59" spans="1:23" x14ac:dyDescent="0.25">
      <c r="A59">
        <f>A44</f>
        <v>0</v>
      </c>
      <c r="B59">
        <v>2.1</v>
      </c>
      <c r="C59" s="3">
        <f t="shared" si="12"/>
        <v>0.42</v>
      </c>
      <c r="D59">
        <f t="shared" si="9"/>
        <v>-1.3862943611198908</v>
      </c>
      <c r="E59">
        <f t="shared" si="13"/>
        <v>0.82664278166371841</v>
      </c>
      <c r="J59">
        <v>60</v>
      </c>
      <c r="K59">
        <v>2.1</v>
      </c>
      <c r="L59" s="3">
        <f t="shared" si="14"/>
        <v>0.89</v>
      </c>
      <c r="M59">
        <f t="shared" si="10"/>
        <v>-0.30715417586460125</v>
      </c>
      <c r="N59">
        <f t="shared" si="15"/>
        <v>-0.98980230838374661</v>
      </c>
      <c r="R59">
        <v>60</v>
      </c>
      <c r="S59">
        <v>2.1</v>
      </c>
      <c r="T59" s="3">
        <f t="shared" si="16"/>
        <v>1.1100000000000001</v>
      </c>
      <c r="U59">
        <f t="shared" si="11"/>
        <v>0.11441035117774431</v>
      </c>
      <c r="V59">
        <f t="shared" si="17"/>
        <v>-2.2303103718719317</v>
      </c>
    </row>
    <row r="62" spans="1:23" x14ac:dyDescent="0.25">
      <c r="A62" t="s">
        <v>6</v>
      </c>
      <c r="B62" t="s">
        <v>7</v>
      </c>
      <c r="C62" t="s">
        <v>8</v>
      </c>
      <c r="D62" s="4" t="s">
        <v>12</v>
      </c>
      <c r="J62" t="s">
        <v>6</v>
      </c>
      <c r="K62" t="s">
        <v>7</v>
      </c>
      <c r="L62" t="s">
        <v>8</v>
      </c>
      <c r="M62" s="4" t="s">
        <v>12</v>
      </c>
      <c r="R62" t="s">
        <v>6</v>
      </c>
      <c r="S62" t="s">
        <v>7</v>
      </c>
      <c r="T62" t="s">
        <v>8</v>
      </c>
      <c r="U62" s="4" t="s">
        <v>12</v>
      </c>
    </row>
    <row r="63" spans="1:23" x14ac:dyDescent="0.25">
      <c r="A63">
        <f>SLOPE(D55:D59,A55:A59)</f>
        <v>-5.904451434838285E-3</v>
      </c>
      <c r="B63">
        <f>INTERCEPT(D55:D59,A55:A59)</f>
        <v>-0.82664278166371841</v>
      </c>
      <c r="C63">
        <f>A63</f>
        <v>-5.904451434838285E-3</v>
      </c>
      <c r="D63">
        <f>B63/C63</f>
        <v>140.00331627528394</v>
      </c>
      <c r="J63">
        <f>SLOPE(M55:M59,J55:J59)</f>
        <v>-1.1702003932199435E-2</v>
      </c>
      <c r="K63">
        <f>INTERCEPT(M55:M59,J55:J59)</f>
        <v>0.28768207245178057</v>
      </c>
      <c r="L63">
        <f>J63</f>
        <v>-1.1702003932199435E-2</v>
      </c>
      <c r="M63">
        <f>K63/L63</f>
        <v>-24.584000665064693</v>
      </c>
      <c r="R63">
        <f>SLOPE(U55:U59,R55:R59)</f>
        <v>-1.8743848509400252E-2</v>
      </c>
      <c r="S63">
        <f>INTERCEPT(U55:U59,R55:R59)</f>
        <v>1.1056794613079168</v>
      </c>
      <c r="T63">
        <f>R63</f>
        <v>-1.8743848509400252E-2</v>
      </c>
      <c r="U63">
        <f>S63/T63</f>
        <v>-58.988924326474688</v>
      </c>
    </row>
    <row r="79" spans="1:23" x14ac:dyDescent="0.25">
      <c r="A79" s="28">
        <v>8.5</v>
      </c>
      <c r="B79" s="28"/>
      <c r="C79" s="28"/>
      <c r="D79" s="28"/>
      <c r="E79" s="28"/>
      <c r="F79" s="28"/>
      <c r="J79" s="28">
        <v>8.5</v>
      </c>
      <c r="K79" s="28"/>
      <c r="L79" s="28"/>
      <c r="M79" s="28"/>
      <c r="N79" s="28"/>
      <c r="O79" s="28"/>
      <c r="R79" s="28">
        <v>8.5</v>
      </c>
      <c r="S79" s="28"/>
      <c r="T79" s="28"/>
      <c r="U79" s="28"/>
      <c r="V79" s="28"/>
      <c r="W79" s="28"/>
    </row>
    <row r="80" spans="1:23" x14ac:dyDescent="0.25">
      <c r="B80" s="1" t="s">
        <v>25</v>
      </c>
      <c r="E80" s="2"/>
      <c r="K80" s="1" t="s">
        <v>27</v>
      </c>
      <c r="N80" s="2"/>
      <c r="S80" s="1" t="s">
        <v>29</v>
      </c>
      <c r="V80" s="2"/>
    </row>
    <row r="81" spans="1:23" x14ac:dyDescent="0.25">
      <c r="B81" s="1" t="s">
        <v>26</v>
      </c>
      <c r="E81" s="2"/>
      <c r="K81" s="6" t="s">
        <v>28</v>
      </c>
      <c r="N81" s="2"/>
      <c r="S81" s="1" t="s">
        <v>30</v>
      </c>
      <c r="V81" s="2"/>
    </row>
    <row r="82" spans="1:23" x14ac:dyDescent="0.25">
      <c r="D82" t="s">
        <v>4</v>
      </c>
      <c r="E82" t="s">
        <v>5</v>
      </c>
      <c r="M82" t="s">
        <v>4</v>
      </c>
      <c r="N82" t="s">
        <v>5</v>
      </c>
      <c r="U82" t="s">
        <v>4</v>
      </c>
      <c r="V82" t="s">
        <v>5</v>
      </c>
    </row>
    <row r="83" spans="1:23" ht="18" x14ac:dyDescent="0.35">
      <c r="A83" t="s">
        <v>0</v>
      </c>
      <c r="B83" t="s">
        <v>1</v>
      </c>
      <c r="C83" t="s">
        <v>2</v>
      </c>
      <c r="D83" t="s">
        <v>3</v>
      </c>
      <c r="E83" t="s">
        <v>13</v>
      </c>
      <c r="F83" t="s">
        <v>9</v>
      </c>
      <c r="J83" t="s">
        <v>0</v>
      </c>
      <c r="K83" t="s">
        <v>1</v>
      </c>
      <c r="L83" t="s">
        <v>2</v>
      </c>
      <c r="M83" t="s">
        <v>3</v>
      </c>
      <c r="N83" t="s">
        <v>13</v>
      </c>
      <c r="O83" t="s">
        <v>9</v>
      </c>
      <c r="R83" t="s">
        <v>0</v>
      </c>
      <c r="S83" t="s">
        <v>1</v>
      </c>
      <c r="T83" t="s">
        <v>2</v>
      </c>
      <c r="U83" t="s">
        <v>3</v>
      </c>
      <c r="V83" t="s">
        <v>13</v>
      </c>
      <c r="W83" t="s">
        <v>9</v>
      </c>
    </row>
    <row r="84" spans="1:23" x14ac:dyDescent="0.25">
      <c r="A84">
        <v>10</v>
      </c>
      <c r="B84">
        <v>2.1</v>
      </c>
      <c r="C84" s="3">
        <f>H5</f>
        <v>1.8966666666666665</v>
      </c>
      <c r="D84">
        <f t="shared" ref="D84:D89" si="18">LN(C84/(B84-C84))</f>
        <v>2.2330065699530182</v>
      </c>
      <c r="E84">
        <f>(($C$93*A84)-($C$93*$D$93))</f>
        <v>1.6280781891683407</v>
      </c>
      <c r="F84" t="s">
        <v>10</v>
      </c>
      <c r="J84">
        <v>10</v>
      </c>
      <c r="K84">
        <v>2.1</v>
      </c>
      <c r="L84" s="3">
        <f>I5</f>
        <v>1.8</v>
      </c>
      <c r="M84">
        <f t="shared" ref="M84:M89" si="19">LN(L84/(K84-L84))</f>
        <v>1.791759469228055</v>
      </c>
      <c r="N84">
        <f>(($L$93*J84)-($L$93*$M$93))</f>
        <v>-1.3728265555869079</v>
      </c>
      <c r="O84" t="s">
        <v>10</v>
      </c>
      <c r="R84">
        <v>10</v>
      </c>
      <c r="S84">
        <v>2.1</v>
      </c>
      <c r="T84" s="3">
        <f>J5</f>
        <v>1.8466666666666667</v>
      </c>
      <c r="U84">
        <f>LN(T84/(S84-T84))</f>
        <v>1.9864313464609524</v>
      </c>
      <c r="V84">
        <f>(($T$93*R84)-($T$93*$U$93))</f>
        <v>0.3356405051973933</v>
      </c>
      <c r="W84" t="s">
        <v>10</v>
      </c>
    </row>
    <row r="85" spans="1:23" x14ac:dyDescent="0.25">
      <c r="A85">
        <v>20</v>
      </c>
      <c r="B85">
        <v>2.1</v>
      </c>
      <c r="C85" s="3">
        <f t="shared" ref="C85:C89" si="20">H6</f>
        <v>0.90666666666666673</v>
      </c>
      <c r="D85">
        <f t="shared" si="18"/>
        <v>-0.27473092010470285</v>
      </c>
      <c r="E85">
        <f t="shared" ref="E85:E89" si="21">(($C$93*A85)-($C$93*$D$93))</f>
        <v>1.5780888910803923</v>
      </c>
      <c r="F85" s="4" t="s">
        <v>11</v>
      </c>
      <c r="J85">
        <v>20</v>
      </c>
      <c r="K85">
        <v>2.1</v>
      </c>
      <c r="L85" s="3">
        <f t="shared" ref="L85:L89" si="22">I6</f>
        <v>1.2766666666666666</v>
      </c>
      <c r="M85">
        <f t="shared" si="19"/>
        <v>0.43864665255266855</v>
      </c>
      <c r="N85">
        <f t="shared" ref="N85:N86" si="23">(($L$93*J85)-($L$93*$M$93))</f>
        <v>-1.7457437232129864</v>
      </c>
      <c r="O85" s="4" t="s">
        <v>11</v>
      </c>
      <c r="R85">
        <v>20</v>
      </c>
      <c r="S85">
        <v>2.1</v>
      </c>
      <c r="T85" s="3">
        <f t="shared" ref="T85:T89" si="24">J6</f>
        <v>1.1399999999999999</v>
      </c>
      <c r="U85">
        <f t="shared" ref="U85:U89" si="25">LN(T85/(S85-T85))</f>
        <v>0.17185025692665903</v>
      </c>
      <c r="V85">
        <f t="shared" ref="V85:V89" si="26">(($T$93*R85)-($T$93*$U$93))</f>
        <v>0.28985068561295191</v>
      </c>
      <c r="W85" s="4" t="s">
        <v>11</v>
      </c>
    </row>
    <row r="86" spans="1:23" x14ac:dyDescent="0.25">
      <c r="A86">
        <v>30</v>
      </c>
      <c r="B86">
        <v>2.1</v>
      </c>
      <c r="C86" s="3">
        <f t="shared" si="20"/>
        <v>0.34999999999999992</v>
      </c>
      <c r="D86">
        <f t="shared" si="18"/>
        <v>-1.6094379124341007</v>
      </c>
      <c r="E86">
        <f t="shared" si="21"/>
        <v>1.5280995929924437</v>
      </c>
      <c r="J86">
        <v>30</v>
      </c>
      <c r="K86">
        <v>2.1</v>
      </c>
      <c r="L86" s="3">
        <f t="shared" si="22"/>
        <v>0.93666666666666665</v>
      </c>
      <c r="M86">
        <f t="shared" si="19"/>
        <v>-0.2167172528686816</v>
      </c>
      <c r="N86">
        <f t="shared" si="23"/>
        <v>-2.1186608908390645</v>
      </c>
      <c r="R86">
        <v>30</v>
      </c>
      <c r="S86">
        <v>2.1</v>
      </c>
      <c r="T86" s="3">
        <f t="shared" si="24"/>
        <v>1.01</v>
      </c>
      <c r="U86">
        <f t="shared" si="25"/>
        <v>-7.6227365387884369E-2</v>
      </c>
      <c r="V86">
        <f t="shared" si="26"/>
        <v>0.24406086602851049</v>
      </c>
    </row>
    <row r="87" spans="1:23" x14ac:dyDescent="0.25">
      <c r="A87">
        <v>40</v>
      </c>
      <c r="B87">
        <v>2.1</v>
      </c>
      <c r="C87" s="3">
        <f t="shared" si="20"/>
        <v>0.19666666666666668</v>
      </c>
      <c r="D87">
        <f t="shared" si="18"/>
        <v>-2.2698517657502908</v>
      </c>
      <c r="E87">
        <f t="shared" si="21"/>
        <v>1.4781102949044951</v>
      </c>
      <c r="J87">
        <v>40</v>
      </c>
      <c r="K87">
        <v>2.1</v>
      </c>
      <c r="L87" s="3">
        <f t="shared" si="22"/>
        <v>0.71333333333333326</v>
      </c>
      <c r="M87">
        <f t="shared" si="19"/>
        <v>-0.66470924523941188</v>
      </c>
      <c r="N87">
        <f>(($L$93*J87)-($L$93*$M$93))</f>
        <v>-2.491578058465143</v>
      </c>
      <c r="R87">
        <v>40</v>
      </c>
      <c r="S87">
        <v>2.1</v>
      </c>
      <c r="T87" s="3">
        <f t="shared" si="24"/>
        <v>0.65666666666666673</v>
      </c>
      <c r="U87">
        <f t="shared" si="25"/>
        <v>-0.78753399926450129</v>
      </c>
      <c r="V87">
        <f t="shared" si="26"/>
        <v>0.19827104644406909</v>
      </c>
    </row>
    <row r="88" spans="1:23" x14ac:dyDescent="0.25">
      <c r="A88">
        <v>50</v>
      </c>
      <c r="B88">
        <v>2.1</v>
      </c>
      <c r="C88" s="3">
        <f t="shared" si="20"/>
        <v>0.18333333333333335</v>
      </c>
      <c r="D88">
        <f t="shared" si="18"/>
        <v>-2.3470368555648795</v>
      </c>
      <c r="E88">
        <f t="shared" si="21"/>
        <v>1.4281209968165465</v>
      </c>
      <c r="J88">
        <v>50</v>
      </c>
      <c r="K88">
        <v>2.1</v>
      </c>
      <c r="L88" s="3">
        <f t="shared" si="22"/>
        <v>0.57999999999999996</v>
      </c>
      <c r="M88">
        <f t="shared" si="19"/>
        <v>-0.96343751029985714</v>
      </c>
      <c r="N88">
        <f>(($L$93*J88)-($L$93*$M$93))</f>
        <v>-2.8644952260912211</v>
      </c>
      <c r="R88">
        <v>50</v>
      </c>
      <c r="S88">
        <v>2.1</v>
      </c>
      <c r="T88" s="3">
        <f t="shared" si="24"/>
        <v>0.58333333333333337</v>
      </c>
      <c r="U88">
        <f t="shared" si="25"/>
        <v>-0.95551144502743635</v>
      </c>
      <c r="V88">
        <f t="shared" si="26"/>
        <v>0.15248122685962767</v>
      </c>
    </row>
    <row r="89" spans="1:23" x14ac:dyDescent="0.25">
      <c r="A89">
        <f>A74</f>
        <v>0</v>
      </c>
      <c r="B89">
        <v>2.1</v>
      </c>
      <c r="C89" s="3">
        <f t="shared" si="20"/>
        <v>0.1466666666666667</v>
      </c>
      <c r="D89">
        <f t="shared" si="18"/>
        <v>-2.5891301556587512</v>
      </c>
      <c r="E89">
        <f t="shared" si="21"/>
        <v>1.6780674872562893</v>
      </c>
      <c r="J89">
        <v>60</v>
      </c>
      <c r="K89">
        <v>2.1</v>
      </c>
      <c r="L89" s="3">
        <f t="shared" si="22"/>
        <v>0.54333333333333333</v>
      </c>
      <c r="M89">
        <f t="shared" si="19"/>
        <v>-1.0525790568621349</v>
      </c>
      <c r="N89">
        <f>(($C$29*J89)-($C$29*$D$29))</f>
        <v>0.15692101380427534</v>
      </c>
      <c r="R89">
        <f>R74</f>
        <v>0</v>
      </c>
      <c r="S89">
        <v>2.1</v>
      </c>
      <c r="T89" s="3">
        <f t="shared" si="24"/>
        <v>0.60666666666666658</v>
      </c>
      <c r="U89">
        <f t="shared" si="25"/>
        <v>-0.90078654533819025</v>
      </c>
      <c r="V89">
        <f t="shared" si="26"/>
        <v>0.3814303247818347</v>
      </c>
    </row>
    <row r="92" spans="1:23" x14ac:dyDescent="0.25">
      <c r="A92" t="s">
        <v>6</v>
      </c>
      <c r="B92" t="s">
        <v>7</v>
      </c>
      <c r="C92" t="s">
        <v>8</v>
      </c>
      <c r="D92" s="4" t="s">
        <v>12</v>
      </c>
      <c r="J92" t="s">
        <v>6</v>
      </c>
      <c r="K92" t="s">
        <v>7</v>
      </c>
      <c r="L92" t="s">
        <v>8</v>
      </c>
      <c r="M92" s="4" t="s">
        <v>12</v>
      </c>
      <c r="R92" t="s">
        <v>6</v>
      </c>
      <c r="S92" t="s">
        <v>7</v>
      </c>
      <c r="T92" t="s">
        <v>8</v>
      </c>
      <c r="U92" s="4" t="s">
        <v>12</v>
      </c>
    </row>
    <row r="93" spans="1:23" x14ac:dyDescent="0.25">
      <c r="A93">
        <f>SLOPE(D85:D89,A85:A89)</f>
        <v>-4.9989298087948549E-3</v>
      </c>
      <c r="B93">
        <f>INTERCEPT(D85:D89,A85:A89)</f>
        <v>-1.6780674872562891</v>
      </c>
      <c r="C93">
        <f>A93</f>
        <v>-4.9989298087948549E-3</v>
      </c>
      <c r="D93" s="17">
        <f>B93/C93</f>
        <v>335.68534695245876</v>
      </c>
      <c r="J93">
        <f>SLOPE(M85:M89,J85:J89)</f>
        <v>-3.7291716762607827E-2</v>
      </c>
      <c r="K93">
        <f>INTERCEPT(M85:M89,J85:J89)</f>
        <v>0.99990938796082973</v>
      </c>
      <c r="L93">
        <f>J93</f>
        <v>-3.7291716762607827E-2</v>
      </c>
      <c r="M93">
        <f>K93/L93</f>
        <v>-26.813176618445002</v>
      </c>
      <c r="R93">
        <f>SLOPE(U85:U89,R85:R89)</f>
        <v>-4.5789819584441402E-3</v>
      </c>
      <c r="S93">
        <f>INTERCEPT(U85:U89,R85:R89)</f>
        <v>-0.3814303247818347</v>
      </c>
      <c r="T93">
        <f>R93</f>
        <v>-4.5789819584441402E-3</v>
      </c>
      <c r="U93">
        <f>S93/T93</f>
        <v>83.300246265097357</v>
      </c>
    </row>
    <row r="95" spans="1:23" x14ac:dyDescent="0.25">
      <c r="B95" s="29" t="s">
        <v>57</v>
      </c>
      <c r="C95" s="29"/>
      <c r="D95" s="29"/>
      <c r="E95" s="29"/>
      <c r="F95" s="29"/>
      <c r="G95" s="29"/>
      <c r="H95" s="29"/>
      <c r="I95" s="29"/>
      <c r="J95" s="29"/>
      <c r="K95" s="29"/>
    </row>
    <row r="96" spans="1:23" x14ac:dyDescent="0.25">
      <c r="B96" s="20" t="s">
        <v>85</v>
      </c>
      <c r="C96" s="20">
        <v>1</v>
      </c>
      <c r="D96" s="20">
        <v>2</v>
      </c>
      <c r="E96" s="20">
        <v>3</v>
      </c>
      <c r="F96" s="20">
        <v>4</v>
      </c>
      <c r="G96" s="20">
        <v>5</v>
      </c>
      <c r="H96" s="20">
        <v>6</v>
      </c>
      <c r="I96" s="20">
        <v>7</v>
      </c>
      <c r="J96" s="20">
        <v>8</v>
      </c>
      <c r="K96" s="20">
        <v>9</v>
      </c>
    </row>
    <row r="97" spans="2:11" x14ac:dyDescent="0.25">
      <c r="B97" s="20" t="s">
        <v>86</v>
      </c>
      <c r="C97" s="29">
        <v>6.5</v>
      </c>
      <c r="D97" s="29"/>
      <c r="E97" s="29"/>
      <c r="F97" s="29">
        <v>7.5</v>
      </c>
      <c r="G97" s="29"/>
      <c r="H97" s="29"/>
      <c r="I97" s="29">
        <v>8.5</v>
      </c>
      <c r="J97" s="29"/>
      <c r="K97" s="29"/>
    </row>
    <row r="98" spans="2:11" x14ac:dyDescent="0.25">
      <c r="B98" s="21" t="s">
        <v>87</v>
      </c>
      <c r="C98" s="20" t="s">
        <v>25</v>
      </c>
      <c r="D98" s="20" t="s">
        <v>27</v>
      </c>
      <c r="E98" s="20" t="s">
        <v>29</v>
      </c>
      <c r="F98" s="20" t="s">
        <v>25</v>
      </c>
      <c r="G98" s="20" t="s">
        <v>27</v>
      </c>
      <c r="H98" s="20" t="s">
        <v>29</v>
      </c>
      <c r="I98" s="20" t="s">
        <v>25</v>
      </c>
      <c r="J98" s="20" t="s">
        <v>27</v>
      </c>
      <c r="K98" s="20" t="s">
        <v>29</v>
      </c>
    </row>
    <row r="99" spans="2:11" x14ac:dyDescent="0.25">
      <c r="B99" s="20" t="s">
        <v>88</v>
      </c>
      <c r="C99" s="21"/>
      <c r="D99" s="21"/>
      <c r="E99" s="21"/>
      <c r="F99" s="21"/>
      <c r="G99" s="21"/>
      <c r="H99" s="21"/>
      <c r="I99" s="21"/>
      <c r="J99" s="21"/>
      <c r="K99" s="21"/>
    </row>
    <row r="100" spans="2:11" ht="18" x14ac:dyDescent="0.35">
      <c r="B100" s="22" t="s">
        <v>92</v>
      </c>
      <c r="C100" s="23">
        <f>'Thomas Linear_Fe'!D30</f>
        <v>-1.6217302131781286E-3</v>
      </c>
      <c r="D100" s="23"/>
      <c r="E100" s="23"/>
      <c r="F100" s="27">
        <f>'Thomas Linear_Fe'!D58</f>
        <v>-1.1363976223868477E-2</v>
      </c>
      <c r="G100" s="27">
        <f>'Thomas Linear_Fe'!L58</f>
        <v>-4.5432710114218467E-3</v>
      </c>
      <c r="H100" s="27">
        <f>'Thomas Linear_Fe'!T58</f>
        <v>3.7050014968136549E-2</v>
      </c>
      <c r="I100" s="27">
        <f>'Thomas Linear_Fe'!D87</f>
        <v>-2.7247356726665131E-2</v>
      </c>
      <c r="J100" s="27">
        <f>'Thomas Linear_Fe'!L87</f>
        <v>-2.099835950676238E-2</v>
      </c>
      <c r="K100" s="27">
        <f>'Thomas Linear_Fe'!T87</f>
        <v>-2.0323135809351186E-2</v>
      </c>
    </row>
    <row r="101" spans="2:11" ht="18" x14ac:dyDescent="0.35">
      <c r="B101" s="21" t="s">
        <v>93</v>
      </c>
      <c r="C101" s="23">
        <f>'Thomas Linear_Fe'!C30</f>
        <v>1.867154682813248E-3</v>
      </c>
      <c r="D101" s="23"/>
      <c r="E101" s="23"/>
      <c r="F101" s="27">
        <f>'Thomas Linear_Fe'!C58</f>
        <v>-2.8116435403991846E-3</v>
      </c>
      <c r="G101" s="27">
        <f>'Thomas Linear_Fe'!K58</f>
        <v>-1.3180947459765658E-3</v>
      </c>
      <c r="H101" s="27">
        <f>'Thomas Linear_Fe'!S58</f>
        <v>-1.3683842741796977E-3</v>
      </c>
      <c r="I101" s="27">
        <f>'Thomas Linear_Fe'!C87</f>
        <v>-2.3804427660927881E-3</v>
      </c>
      <c r="J101" s="27">
        <f>'Thomas Linear_Fe'!K87</f>
        <v>-1.1719852971327955E-3</v>
      </c>
      <c r="K101" s="27">
        <f>'Thomas Linear_Fe'!S87</f>
        <v>-2.1804675992591178E-3</v>
      </c>
    </row>
    <row r="102" spans="2:11" ht="17.25" x14ac:dyDescent="0.25">
      <c r="B102" s="24" t="s">
        <v>91</v>
      </c>
      <c r="C102" s="25">
        <v>0.11</v>
      </c>
      <c r="D102" s="25"/>
      <c r="E102" s="25"/>
      <c r="F102" s="25">
        <v>0.78</v>
      </c>
      <c r="G102" s="25">
        <v>0.65</v>
      </c>
      <c r="H102" s="25">
        <v>0.87</v>
      </c>
      <c r="I102" s="25">
        <v>0.8</v>
      </c>
      <c r="J102" s="25">
        <v>0.87</v>
      </c>
      <c r="K102" s="25">
        <v>0.78</v>
      </c>
    </row>
    <row r="103" spans="2:11" x14ac:dyDescent="0.25">
      <c r="B103" s="21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2:11" x14ac:dyDescent="0.25">
      <c r="B104" s="20" t="s">
        <v>89</v>
      </c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2:11" ht="18" x14ac:dyDescent="0.35">
      <c r="B105" s="21" t="s">
        <v>94</v>
      </c>
      <c r="C105" s="27">
        <f>'Adam &amp; bohaart linear_Fe'!D33</f>
        <v>-27.351170257641545</v>
      </c>
      <c r="D105" s="27">
        <f>'Adam &amp; bohaart linear_Fe'!L33</f>
        <v>-4.0613634210844038</v>
      </c>
      <c r="E105" s="27">
        <f>'Adam &amp; bohaart linear_Fe'!S33</f>
        <v>-2.2641842579487061</v>
      </c>
      <c r="F105" s="27">
        <f>'Adam &amp; bohaart linear_Fe'!D65</f>
        <v>1.6137177288453546</v>
      </c>
      <c r="G105" s="27">
        <f>'Adam &amp; bohaart linear_Fe'!L65</f>
        <v>10.03260847237415</v>
      </c>
      <c r="H105" s="27">
        <f>'Adam &amp; bohaart linear_Fe'!S66</f>
        <v>7.3441621584471735</v>
      </c>
      <c r="I105" s="27">
        <f>'Adam &amp; bohaart linear_Fe'!D103</f>
        <v>0.49490238987240276</v>
      </c>
      <c r="J105" s="27">
        <f>'Adam &amp; bohaart linear_Fe'!L103</f>
        <v>0.62258055485593833</v>
      </c>
      <c r="K105" s="27">
        <f>'Adam Bohaart linear_Mn'!S66</f>
        <v>26.478390224820604</v>
      </c>
    </row>
    <row r="106" spans="2:11" ht="18" x14ac:dyDescent="0.35">
      <c r="B106" s="21" t="s">
        <v>95</v>
      </c>
      <c r="C106" s="27">
        <f>'Adam &amp; bohaart linear_Fe'!C33</f>
        <v>7.9337649334492919E-4</v>
      </c>
      <c r="D106" s="27">
        <f>'Adam &amp; bohaart linear_Fe'!K33</f>
        <v>-4.818997410234162E-3</v>
      </c>
      <c r="E106" s="27">
        <f>'Adam &amp; bohaart linear_Fe'!R33</f>
        <v>1.6667462668673964E-3</v>
      </c>
      <c r="F106" s="27">
        <f>'Adam &amp; bohaart linear_Fe'!C65</f>
        <v>-1.0124012965961366E-2</v>
      </c>
      <c r="G106" s="27">
        <f>'Adam &amp; bohaart linear_Fe'!K65</f>
        <v>-2.7930354547699376E-3</v>
      </c>
      <c r="H106" s="27">
        <f>'Adam &amp; bohaart linear_Fe'!R66</f>
        <v>-3.4381494541926858E-3</v>
      </c>
      <c r="I106" s="27">
        <f>'Adam &amp; bohaart linear_Fe'!C103</f>
        <v>-2.0427866808002494E-2</v>
      </c>
      <c r="J106" s="27">
        <f>'Adam &amp; bohaart linear_Fe'!K103</f>
        <v>-1.0418423556509447E-2</v>
      </c>
      <c r="K106" s="27">
        <f>'Adam Bohaart linear_Mn'!R66</f>
        <v>-3.8995161231690748E-3</v>
      </c>
    </row>
    <row r="107" spans="2:11" ht="17.25" x14ac:dyDescent="0.25">
      <c r="B107" s="24" t="s">
        <v>91</v>
      </c>
      <c r="C107" s="25">
        <v>0.33</v>
      </c>
      <c r="D107" s="25">
        <v>0.87</v>
      </c>
      <c r="E107" s="25">
        <v>0.71</v>
      </c>
      <c r="F107" s="25">
        <v>0.82</v>
      </c>
      <c r="G107" s="25">
        <v>0.69</v>
      </c>
      <c r="H107" s="25">
        <v>0.9</v>
      </c>
      <c r="I107" s="25">
        <v>0.9</v>
      </c>
      <c r="J107" s="25">
        <v>0.96</v>
      </c>
      <c r="K107" s="25">
        <v>0.89</v>
      </c>
    </row>
    <row r="108" spans="2:11" x14ac:dyDescent="0.25">
      <c r="B108" s="21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2:11" x14ac:dyDescent="0.25">
      <c r="B109" s="20" t="s">
        <v>90</v>
      </c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2:11" ht="18.75" x14ac:dyDescent="0.35">
      <c r="B110" s="21" t="s">
        <v>96</v>
      </c>
      <c r="C110" s="23">
        <f>C29</f>
        <v>3.9210248339078217E-3</v>
      </c>
      <c r="D110" s="27"/>
      <c r="E110" s="27"/>
      <c r="F110" s="27">
        <f>C63</f>
        <v>-5.904451434838285E-3</v>
      </c>
      <c r="G110" s="27">
        <f>L63</f>
        <v>-1.1702003932199435E-2</v>
      </c>
      <c r="H110" s="27">
        <f>T63</f>
        <v>-1.8743848509400252E-2</v>
      </c>
      <c r="I110" s="27">
        <f>C93</f>
        <v>-4.9989298087948549E-3</v>
      </c>
      <c r="J110" s="27">
        <f>L93</f>
        <v>-3.7291716762607827E-2</v>
      </c>
      <c r="K110" s="27">
        <f>T93</f>
        <v>-4.5789819584441402E-3</v>
      </c>
    </row>
    <row r="111" spans="2:11" x14ac:dyDescent="0.25">
      <c r="B111" s="22" t="s">
        <v>97</v>
      </c>
      <c r="C111" s="25">
        <f>D29</f>
        <v>19.979591955840096</v>
      </c>
      <c r="D111" s="25"/>
      <c r="E111" s="25"/>
      <c r="F111" s="25">
        <f>D63</f>
        <v>140.00331627528394</v>
      </c>
      <c r="G111" s="25">
        <f>M63</f>
        <v>-24.584000665064693</v>
      </c>
      <c r="H111" s="25">
        <f>U63</f>
        <v>-58.988924326474688</v>
      </c>
      <c r="I111" s="25">
        <f>D93</f>
        <v>335.68534695245876</v>
      </c>
      <c r="J111" s="25">
        <f>M93</f>
        <v>-26.813176618445002</v>
      </c>
      <c r="K111" s="25">
        <f>U93</f>
        <v>83.300246265097357</v>
      </c>
    </row>
    <row r="112" spans="2:11" ht="17.25" x14ac:dyDescent="0.25">
      <c r="B112" s="24" t="s">
        <v>91</v>
      </c>
      <c r="C112" s="21">
        <v>0.11</v>
      </c>
      <c r="D112" s="21"/>
      <c r="E112" s="21"/>
      <c r="F112" s="21">
        <v>0.84799999999999998</v>
      </c>
      <c r="G112" s="21">
        <v>0.73</v>
      </c>
      <c r="H112" s="21">
        <v>0.93</v>
      </c>
      <c r="I112" s="25">
        <v>0.85</v>
      </c>
      <c r="J112" s="21">
        <v>0.91</v>
      </c>
      <c r="K112" s="21">
        <v>0.93</v>
      </c>
    </row>
  </sheetData>
  <mergeCells count="17">
    <mergeCell ref="C97:E97"/>
    <mergeCell ref="F97:H97"/>
    <mergeCell ref="I97:K97"/>
    <mergeCell ref="B95:K95"/>
    <mergeCell ref="A1:J1"/>
    <mergeCell ref="B2:D2"/>
    <mergeCell ref="E2:G2"/>
    <mergeCell ref="H2:J2"/>
    <mergeCell ref="A15:F15"/>
    <mergeCell ref="J15:O15"/>
    <mergeCell ref="R15:W15"/>
    <mergeCell ref="R49:W49"/>
    <mergeCell ref="J49:O49"/>
    <mergeCell ref="A49:F49"/>
    <mergeCell ref="A79:F79"/>
    <mergeCell ref="J79:O79"/>
    <mergeCell ref="R79:W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topLeftCell="A49" workbookViewId="0">
      <selection activeCell="E13" sqref="E13"/>
    </sheetView>
  </sheetViews>
  <sheetFormatPr defaultRowHeight="15" x14ac:dyDescent="0.25"/>
  <cols>
    <col min="1" max="1" width="10.7109375" bestFit="1" customWidth="1"/>
    <col min="2" max="2" width="13.140625" bestFit="1" customWidth="1"/>
    <col min="3" max="3" width="12.5703125" bestFit="1" customWidth="1"/>
    <col min="4" max="4" width="12.28515625" bestFit="1" customWidth="1"/>
    <col min="5" max="5" width="13.140625" bestFit="1" customWidth="1"/>
    <col min="6" max="6" width="12.5703125" bestFit="1" customWidth="1"/>
    <col min="7" max="7" width="12.28515625" bestFit="1" customWidth="1"/>
    <col min="8" max="8" width="13.140625" bestFit="1" customWidth="1"/>
    <col min="9" max="9" width="12.5703125" bestFit="1" customWidth="1"/>
    <col min="10" max="10" width="12.28515625" bestFit="1" customWidth="1"/>
    <col min="11" max="11" width="12.7109375" bestFit="1" customWidth="1"/>
  </cols>
  <sheetData>
    <row r="1" spans="1:23" x14ac:dyDescent="0.25">
      <c r="A1" s="30" t="str">
        <f>'[1]Manganese Graphs'!C34</f>
        <v>Manganese (mg/l)</v>
      </c>
      <c r="B1" s="30"/>
      <c r="C1" s="30"/>
      <c r="D1" s="30"/>
      <c r="E1" s="30"/>
      <c r="F1" s="30"/>
      <c r="G1" s="30"/>
      <c r="H1" s="30"/>
      <c r="I1" s="30"/>
      <c r="J1" s="30"/>
    </row>
    <row r="2" spans="1:23" x14ac:dyDescent="0.25">
      <c r="A2" s="21" t="str">
        <f>'[1]Manganese Graphs'!C35</f>
        <v>Time (min)</v>
      </c>
      <c r="B2" s="30">
        <f>'[1]Manganese Graphs'!D35</f>
        <v>6.5</v>
      </c>
      <c r="C2" s="30"/>
      <c r="D2" s="30"/>
      <c r="E2" s="30">
        <f>'[1]Manganese Graphs'!G35</f>
        <v>7.5</v>
      </c>
      <c r="F2" s="30"/>
      <c r="G2" s="30"/>
      <c r="H2" s="30">
        <f>'[1]Manganese Graphs'!J35</f>
        <v>8.5</v>
      </c>
      <c r="I2" s="30"/>
      <c r="J2" s="30"/>
    </row>
    <row r="3" spans="1:23" x14ac:dyDescent="0.25">
      <c r="A3" s="21">
        <f>'[1]Manganese Graphs'!C36</f>
        <v>0</v>
      </c>
      <c r="B3" s="20" t="str">
        <f>'[1]Manganese Graphs'!D36</f>
        <v>0,174 (l/min)</v>
      </c>
      <c r="C3" s="20" t="str">
        <f>'[1]Manganese Graphs'!E36</f>
        <v>0,262 (l/min)</v>
      </c>
      <c r="D3" s="20" t="str">
        <f>'[1]Manganese Graphs'!F36</f>
        <v>0,523 (l/min)</v>
      </c>
      <c r="E3" s="20" t="str">
        <f>'[1]Manganese Graphs'!G36</f>
        <v>0,174 (l/min)</v>
      </c>
      <c r="F3" s="20" t="str">
        <f>'[1]Manganese Graphs'!H36</f>
        <v>0,262 (l/min)</v>
      </c>
      <c r="G3" s="20" t="str">
        <f>'[1]Manganese Graphs'!I36</f>
        <v>0,523 (l/min)</v>
      </c>
      <c r="H3" s="20" t="str">
        <f>'[1]Manganese Graphs'!J36</f>
        <v>0,174 (l/min)</v>
      </c>
      <c r="I3" s="20" t="str">
        <f>'[1]Manganese Graphs'!K36</f>
        <v>0,262 (l/min)</v>
      </c>
      <c r="J3" s="20" t="str">
        <f>'[1]Manganese Graphs'!L36</f>
        <v>0,523 (l/min)</v>
      </c>
    </row>
    <row r="4" spans="1:23" x14ac:dyDescent="0.25">
      <c r="A4" s="21">
        <f>'[1]Manganese Graphs'!C37</f>
        <v>0</v>
      </c>
      <c r="B4" s="20" t="str">
        <f>'[1]Manganese Graphs'!D37</f>
        <v>1,67 (ml/min)</v>
      </c>
      <c r="C4" s="20" t="str">
        <f>'[1]Manganese Graphs'!E37</f>
        <v>2,52(ml/min)</v>
      </c>
      <c r="D4" s="20" t="str">
        <f>'[1]Manganese Graphs'!F37</f>
        <v>5,0 (ml/min)</v>
      </c>
      <c r="E4" s="20" t="str">
        <f>'[1]Manganese Graphs'!G37</f>
        <v>1,67 (ml/min)</v>
      </c>
      <c r="F4" s="20" t="str">
        <f>'[1]Manganese Graphs'!H37</f>
        <v>2,52(ml/min)</v>
      </c>
      <c r="G4" s="20" t="str">
        <f>'[1]Manganese Graphs'!I37</f>
        <v>5,0 (ml/min)</v>
      </c>
      <c r="H4" s="20" t="str">
        <f>'[1]Manganese Graphs'!J37</f>
        <v>1,67 (ml/min)</v>
      </c>
      <c r="I4" s="20" t="str">
        <f>'[1]Manganese Graphs'!K37</f>
        <v>2,52(ml/min)</v>
      </c>
      <c r="J4" s="20" t="str">
        <f>'[1]Manganese Graphs'!L37</f>
        <v>5,0 (ml/min)</v>
      </c>
    </row>
    <row r="5" spans="1:23" x14ac:dyDescent="0.25">
      <c r="A5" s="21">
        <f>'[1]Manganese Graphs'!C38</f>
        <v>10</v>
      </c>
      <c r="B5" s="25">
        <f>'[1]Manganese Graphs'!D38</f>
        <v>0.3</v>
      </c>
      <c r="C5" s="25">
        <f>'[1]Manganese Graphs'!E38</f>
        <v>0.2</v>
      </c>
      <c r="D5" s="25">
        <f>'[1]Manganese Graphs'!F38</f>
        <v>0.5</v>
      </c>
      <c r="E5" s="25">
        <f>'[1]Manganese Graphs'!G38</f>
        <v>0.53</v>
      </c>
      <c r="F5" s="25">
        <f>'[1]Manganese Graphs'!H38</f>
        <v>0.37</v>
      </c>
      <c r="G5" s="25">
        <f>'[1]Manganese Graphs'!I38</f>
        <v>0.5</v>
      </c>
      <c r="H5" s="25">
        <f>'[1]Manganese Graphs'!J38</f>
        <v>0.53333333333333333</v>
      </c>
      <c r="I5" s="25">
        <f>'[1]Manganese Graphs'!K38</f>
        <v>0.53333333333333333</v>
      </c>
      <c r="J5" s="25">
        <f>'[1]Manganese Graphs'!L38</f>
        <v>0.6333333333333333</v>
      </c>
    </row>
    <row r="6" spans="1:23" x14ac:dyDescent="0.25">
      <c r="A6" s="21">
        <f>'[1]Manganese Graphs'!C39</f>
        <v>20</v>
      </c>
      <c r="B6" s="25">
        <f>'[1]Manganese Graphs'!D39</f>
        <v>0.4</v>
      </c>
      <c r="C6" s="25">
        <f>'[1]Manganese Graphs'!E39</f>
        <v>0.2</v>
      </c>
      <c r="D6" s="25">
        <f>'[1]Manganese Graphs'!F39</f>
        <v>0.6</v>
      </c>
      <c r="E6" s="25">
        <f>'[1]Manganese Graphs'!G39</f>
        <v>0.5</v>
      </c>
      <c r="F6" s="25">
        <f>'[1]Manganese Graphs'!H39</f>
        <v>0.3</v>
      </c>
      <c r="G6" s="25">
        <f>'[1]Manganese Graphs'!I39</f>
        <v>0.6</v>
      </c>
      <c r="H6" s="25">
        <f>'[1]Manganese Graphs'!J39</f>
        <v>0.56666666666666676</v>
      </c>
      <c r="I6" s="25">
        <f>'[1]Manganese Graphs'!K39</f>
        <v>0.5</v>
      </c>
      <c r="J6" s="25">
        <f>'[1]Manganese Graphs'!L39</f>
        <v>0.5</v>
      </c>
    </row>
    <row r="7" spans="1:23" x14ac:dyDescent="0.25">
      <c r="A7" s="21">
        <f>'[1]Manganese Graphs'!C40</f>
        <v>30</v>
      </c>
      <c r="B7" s="25">
        <f>'[1]Manganese Graphs'!D40</f>
        <v>0.63</v>
      </c>
      <c r="C7" s="25">
        <f>'[1]Manganese Graphs'!E40</f>
        <v>0.37</v>
      </c>
      <c r="D7" s="25">
        <f>'[1]Manganese Graphs'!F40</f>
        <v>0.63</v>
      </c>
      <c r="E7" s="25">
        <f>'[1]Manganese Graphs'!G40</f>
        <v>0.5</v>
      </c>
      <c r="F7" s="25">
        <f>'[1]Manganese Graphs'!H40</f>
        <v>0.33</v>
      </c>
      <c r="G7" s="25">
        <f>'[1]Manganese Graphs'!I40</f>
        <v>0.63</v>
      </c>
      <c r="H7" s="25">
        <f>'[1]Manganese Graphs'!J40</f>
        <v>0.46666666666666662</v>
      </c>
      <c r="I7" s="25">
        <f>'[1]Manganese Graphs'!K40</f>
        <v>0.5</v>
      </c>
      <c r="J7" s="25">
        <f>'[1]Manganese Graphs'!L40</f>
        <v>0.56666666666666676</v>
      </c>
    </row>
    <row r="8" spans="1:23" x14ac:dyDescent="0.25">
      <c r="A8" s="21">
        <f>'[1]Manganese Graphs'!C41</f>
        <v>40</v>
      </c>
      <c r="B8" s="25">
        <f>'[1]Manganese Graphs'!D41</f>
        <v>0.6</v>
      </c>
      <c r="C8" s="25">
        <f>'[1]Manganese Graphs'!E41</f>
        <v>0.3</v>
      </c>
      <c r="D8" s="25">
        <f>'[1]Manganese Graphs'!F41</f>
        <v>0.6</v>
      </c>
      <c r="E8" s="25">
        <f>'[1]Manganese Graphs'!G41</f>
        <v>0.5</v>
      </c>
      <c r="F8" s="25">
        <f>'[1]Manganese Graphs'!H41</f>
        <v>0.4</v>
      </c>
      <c r="G8" s="25">
        <f>'[1]Manganese Graphs'!I41</f>
        <v>0.6</v>
      </c>
      <c r="H8" s="25">
        <f>'[1]Manganese Graphs'!J41</f>
        <v>0.33333333333333331</v>
      </c>
      <c r="I8" s="25">
        <f>'[1]Manganese Graphs'!K41</f>
        <v>0.5</v>
      </c>
      <c r="J8" s="25">
        <f>'[1]Manganese Graphs'!L41</f>
        <v>0.56666666666666676</v>
      </c>
    </row>
    <row r="9" spans="1:23" x14ac:dyDescent="0.25">
      <c r="A9" s="21">
        <f>'[1]Manganese Graphs'!C42</f>
        <v>50</v>
      </c>
      <c r="B9" s="25">
        <f>'[1]Manganese Graphs'!D42</f>
        <v>0.5</v>
      </c>
      <c r="C9" s="25">
        <f>'[1]Manganese Graphs'!E42</f>
        <v>0.3</v>
      </c>
      <c r="D9" s="25">
        <f>'[1]Manganese Graphs'!F42</f>
        <v>0.4</v>
      </c>
      <c r="E9" s="25">
        <f>'[1]Manganese Graphs'!G42</f>
        <v>0.5</v>
      </c>
      <c r="F9" s="25">
        <f>'[1]Manganese Graphs'!H42</f>
        <v>0.4</v>
      </c>
      <c r="G9" s="25">
        <f>'[1]Manganese Graphs'!I42</f>
        <v>0.4</v>
      </c>
      <c r="H9" s="25">
        <f>'[1]Manganese Graphs'!J42</f>
        <v>0.43333333333333335</v>
      </c>
      <c r="I9" s="25">
        <f>'[1]Manganese Graphs'!K42</f>
        <v>0.46666666666666662</v>
      </c>
      <c r="J9" s="25">
        <f>'[1]Manganese Graphs'!L42</f>
        <v>0.6333333333333333</v>
      </c>
    </row>
    <row r="10" spans="1:23" x14ac:dyDescent="0.25">
      <c r="A10" s="21">
        <f>'[1]Manganese Graphs'!C43</f>
        <v>60</v>
      </c>
      <c r="B10" s="25">
        <f>'[1]Manganese Graphs'!D43</f>
        <v>0.5</v>
      </c>
      <c r="C10" s="25">
        <f>'[1]Manganese Graphs'!E43</f>
        <v>0.37</v>
      </c>
      <c r="D10" s="25">
        <f>'[1]Manganese Graphs'!F43</f>
        <v>0.5</v>
      </c>
      <c r="E10" s="25">
        <f>'[1]Manganese Graphs'!G43</f>
        <v>0.47</v>
      </c>
      <c r="F10" s="25">
        <f>'[1]Manganese Graphs'!H43</f>
        <v>0.3</v>
      </c>
      <c r="G10" s="25">
        <f>'[1]Manganese Graphs'!I43</f>
        <v>0.5</v>
      </c>
      <c r="H10" s="25">
        <f>'[1]Manganese Graphs'!J43</f>
        <v>0.53333333333333333</v>
      </c>
      <c r="I10" s="25">
        <f>'[1]Manganese Graphs'!K43</f>
        <v>0.53333333333333333</v>
      </c>
      <c r="J10" s="25">
        <f>'[1]Manganese Graphs'!L43</f>
        <v>0.6</v>
      </c>
    </row>
    <row r="13" spans="1:23" x14ac:dyDescent="0.25">
      <c r="A13" t="s">
        <v>21</v>
      </c>
      <c r="B13">
        <v>6690</v>
      </c>
      <c r="C13" t="s">
        <v>22</v>
      </c>
    </row>
    <row r="14" spans="1:23" x14ac:dyDescent="0.25">
      <c r="A14" t="s">
        <v>23</v>
      </c>
      <c r="B14">
        <v>0.17399999999999999</v>
      </c>
      <c r="C14" t="s">
        <v>24</v>
      </c>
      <c r="E14" s="1"/>
    </row>
    <row r="15" spans="1:23" x14ac:dyDescent="0.25">
      <c r="A15" s="28">
        <v>6.5</v>
      </c>
      <c r="B15" s="28"/>
      <c r="C15" s="28"/>
      <c r="D15" s="28"/>
      <c r="E15" s="28"/>
      <c r="F15" s="28"/>
      <c r="J15" s="28">
        <v>6.5</v>
      </c>
      <c r="K15" s="28"/>
      <c r="L15" s="28"/>
      <c r="M15" s="28"/>
      <c r="N15" s="28"/>
      <c r="O15" s="28"/>
      <c r="R15" s="28">
        <v>6.5</v>
      </c>
      <c r="S15" s="28"/>
      <c r="T15" s="28"/>
      <c r="U15" s="28"/>
      <c r="V15" s="28"/>
      <c r="W15" s="28"/>
    </row>
    <row r="16" spans="1:23" x14ac:dyDescent="0.25">
      <c r="B16" s="7" t="s">
        <v>25</v>
      </c>
      <c r="E16" s="2"/>
      <c r="K16" s="1" t="s">
        <v>27</v>
      </c>
      <c r="N16" s="2"/>
      <c r="S16" s="1" t="s">
        <v>29</v>
      </c>
      <c r="V16" s="2"/>
    </row>
    <row r="17" spans="1:23" x14ac:dyDescent="0.25">
      <c r="B17" s="7" t="s">
        <v>26</v>
      </c>
      <c r="E17" s="2"/>
      <c r="K17" s="1" t="s">
        <v>28</v>
      </c>
      <c r="N17" s="2"/>
      <c r="S17" s="1" t="s">
        <v>30</v>
      </c>
      <c r="V17" s="2"/>
    </row>
    <row r="18" spans="1:23" x14ac:dyDescent="0.25">
      <c r="D18" t="s">
        <v>4</v>
      </c>
      <c r="E18" t="s">
        <v>5</v>
      </c>
      <c r="M18" t="s">
        <v>4</v>
      </c>
      <c r="N18" t="s">
        <v>5</v>
      </c>
      <c r="U18" t="s">
        <v>4</v>
      </c>
      <c r="V18" t="s">
        <v>5</v>
      </c>
    </row>
    <row r="19" spans="1:23" ht="18" x14ac:dyDescent="0.35">
      <c r="A19" t="s">
        <v>0</v>
      </c>
      <c r="B19" t="s">
        <v>1</v>
      </c>
      <c r="C19" t="s">
        <v>2</v>
      </c>
      <c r="D19" t="s">
        <v>3</v>
      </c>
      <c r="E19" t="s">
        <v>13</v>
      </c>
      <c r="F19" t="s">
        <v>9</v>
      </c>
      <c r="J19" t="s">
        <v>0</v>
      </c>
      <c r="K19" t="s">
        <v>1</v>
      </c>
      <c r="L19" t="s">
        <v>2</v>
      </c>
      <c r="M19" t="s">
        <v>3</v>
      </c>
      <c r="N19" t="s">
        <v>13</v>
      </c>
      <c r="O19" t="s">
        <v>9</v>
      </c>
      <c r="R19" t="s">
        <v>0</v>
      </c>
      <c r="S19" t="s">
        <v>1</v>
      </c>
      <c r="T19" t="s">
        <v>2</v>
      </c>
      <c r="U19" t="s">
        <v>3</v>
      </c>
      <c r="V19" t="s">
        <v>13</v>
      </c>
      <c r="W19" t="s">
        <v>9</v>
      </c>
    </row>
    <row r="20" spans="1:23" x14ac:dyDescent="0.25">
      <c r="A20">
        <v>10</v>
      </c>
      <c r="B20">
        <v>2.1</v>
      </c>
      <c r="C20" s="3">
        <f>B5</f>
        <v>0.3</v>
      </c>
      <c r="D20">
        <f>LN(C20/(B20-C20))</f>
        <v>-1.791759469228055</v>
      </c>
      <c r="E20">
        <f>(($C$29*A20)-($C$29*$D$29))</f>
        <v>1.2332035373832151</v>
      </c>
      <c r="F20" t="s">
        <v>10</v>
      </c>
      <c r="G20" s="8"/>
      <c r="J20">
        <v>10</v>
      </c>
      <c r="K20">
        <v>2.1</v>
      </c>
      <c r="L20" s="3">
        <f>C5</f>
        <v>0.2</v>
      </c>
      <c r="M20">
        <f>LN(L20/(K20-L20))</f>
        <v>-2.2512917986064953</v>
      </c>
      <c r="N20">
        <f t="shared" ref="N20:N25" si="0">(($L$29*J20)-($L$29*$M$29))</f>
        <v>2.3681368432196335</v>
      </c>
      <c r="O20" t="s">
        <v>10</v>
      </c>
      <c r="R20">
        <v>10</v>
      </c>
      <c r="S20">
        <v>2.1</v>
      </c>
      <c r="T20" s="3">
        <f>D5</f>
        <v>0.5</v>
      </c>
      <c r="U20">
        <f>LN(T20/(S20-T20))</f>
        <v>-1.1631508098056809</v>
      </c>
      <c r="V20">
        <f>(($T$29*R20)-($T$29*$U$29))</f>
        <v>0.51131918416941746</v>
      </c>
      <c r="W20" t="s">
        <v>10</v>
      </c>
    </row>
    <row r="21" spans="1:23" x14ac:dyDescent="0.25">
      <c r="A21">
        <v>20</v>
      </c>
      <c r="B21">
        <v>2.1</v>
      </c>
      <c r="C21" s="3">
        <f t="shared" ref="C21:C25" si="1">B6</f>
        <v>0.4</v>
      </c>
      <c r="D21">
        <f t="shared" ref="D21:D25" si="2">LN(C21/(B21-C21))</f>
        <v>-1.4469189829363254</v>
      </c>
      <c r="E21">
        <f t="shared" ref="E21:E25" si="3">(($C$29*A21)-($C$29*$D$29))</f>
        <v>1.2583718770674963</v>
      </c>
      <c r="F21" s="4" t="s">
        <v>11</v>
      </c>
      <c r="G21" s="8"/>
      <c r="J21">
        <v>20</v>
      </c>
      <c r="K21">
        <v>2.1</v>
      </c>
      <c r="L21" s="3">
        <f t="shared" ref="L21:L25" si="4">C6</f>
        <v>0.2</v>
      </c>
      <c r="M21">
        <f t="shared" ref="M21:M25" si="5">LN(L21/(K21-L21))</f>
        <v>-2.2512917986064953</v>
      </c>
      <c r="N21">
        <f t="shared" si="0"/>
        <v>2.4849818878327716</v>
      </c>
      <c r="O21" s="4" t="s">
        <v>11</v>
      </c>
      <c r="R21">
        <v>20</v>
      </c>
      <c r="S21">
        <v>2.1</v>
      </c>
      <c r="T21" s="3">
        <f t="shared" ref="T21:T25" si="6">D6</f>
        <v>0.6</v>
      </c>
      <c r="U21">
        <f t="shared" ref="U21:U25" si="7">LN(T21/(S21-T21))</f>
        <v>-0.91629073187415511</v>
      </c>
      <c r="V21">
        <f t="shared" ref="V21:V25" si="8">(($T$29*R21)-($T$29*$U$29))</f>
        <v>0.40198505632820014</v>
      </c>
      <c r="W21" s="4" t="s">
        <v>11</v>
      </c>
    </row>
    <row r="22" spans="1:23" x14ac:dyDescent="0.25">
      <c r="A22">
        <v>30</v>
      </c>
      <c r="B22">
        <v>2.1</v>
      </c>
      <c r="C22" s="3">
        <f t="shared" si="1"/>
        <v>0.63</v>
      </c>
      <c r="D22">
        <f t="shared" si="2"/>
        <v>-0.84729786038720378</v>
      </c>
      <c r="E22">
        <f t="shared" si="3"/>
        <v>1.2835402167517773</v>
      </c>
      <c r="G22" s="8"/>
      <c r="J22">
        <v>30</v>
      </c>
      <c r="K22">
        <v>2.1</v>
      </c>
      <c r="L22" s="3">
        <f t="shared" si="4"/>
        <v>0.37</v>
      </c>
      <c r="M22">
        <f t="shared" si="5"/>
        <v>-1.5423736818535545</v>
      </c>
      <c r="N22">
        <f t="shared" si="0"/>
        <v>2.6018269324459098</v>
      </c>
      <c r="R22">
        <v>30</v>
      </c>
      <c r="S22">
        <v>2.1</v>
      </c>
      <c r="T22" s="3">
        <f t="shared" si="6"/>
        <v>0.63</v>
      </c>
      <c r="U22">
        <f t="shared" si="7"/>
        <v>-0.84729786038720378</v>
      </c>
      <c r="V22">
        <f t="shared" si="8"/>
        <v>0.29265092848698288</v>
      </c>
    </row>
    <row r="23" spans="1:23" x14ac:dyDescent="0.25">
      <c r="A23">
        <v>40</v>
      </c>
      <c r="B23">
        <v>2.1</v>
      </c>
      <c r="C23" s="3">
        <f t="shared" si="1"/>
        <v>0.6</v>
      </c>
      <c r="D23">
        <f t="shared" si="2"/>
        <v>-0.91629073187415511</v>
      </c>
      <c r="E23">
        <f t="shared" si="3"/>
        <v>1.3087085564360585</v>
      </c>
      <c r="G23" s="8"/>
      <c r="J23">
        <v>40</v>
      </c>
      <c r="K23">
        <v>2.1</v>
      </c>
      <c r="L23" s="3">
        <f t="shared" si="4"/>
        <v>0.3</v>
      </c>
      <c r="M23">
        <f>LN(L23/(K23-L23))</f>
        <v>-1.791759469228055</v>
      </c>
      <c r="N23">
        <f t="shared" si="0"/>
        <v>2.7186719770590475</v>
      </c>
      <c r="R23">
        <v>40</v>
      </c>
      <c r="S23">
        <v>2.1</v>
      </c>
      <c r="T23" s="3">
        <f t="shared" si="6"/>
        <v>0.6</v>
      </c>
      <c r="U23">
        <f t="shared" si="7"/>
        <v>-0.91629073187415511</v>
      </c>
      <c r="V23">
        <f t="shared" si="8"/>
        <v>0.18331680064576555</v>
      </c>
    </row>
    <row r="24" spans="1:23" x14ac:dyDescent="0.25">
      <c r="A24">
        <v>50</v>
      </c>
      <c r="B24">
        <v>2.1</v>
      </c>
      <c r="C24" s="3">
        <f t="shared" si="1"/>
        <v>0.5</v>
      </c>
      <c r="D24">
        <f t="shared" si="2"/>
        <v>-1.1631508098056809</v>
      </c>
      <c r="E24">
        <f t="shared" si="3"/>
        <v>1.3338768961203398</v>
      </c>
      <c r="G24" s="8"/>
      <c r="J24">
        <v>50</v>
      </c>
      <c r="K24">
        <v>2.1</v>
      </c>
      <c r="L24" s="3">
        <f t="shared" si="4"/>
        <v>0.3</v>
      </c>
      <c r="M24">
        <f t="shared" si="5"/>
        <v>-1.791759469228055</v>
      </c>
      <c r="N24">
        <f t="shared" si="0"/>
        <v>2.8355170216721857</v>
      </c>
      <c r="R24">
        <v>50</v>
      </c>
      <c r="S24">
        <v>2.1</v>
      </c>
      <c r="T24" s="3">
        <f t="shared" si="6"/>
        <v>0.4</v>
      </c>
      <c r="U24">
        <f t="shared" si="7"/>
        <v>-1.4469189829363254</v>
      </c>
      <c r="V24">
        <f t="shared" si="8"/>
        <v>7.3982672804548177E-2</v>
      </c>
    </row>
    <row r="25" spans="1:23" x14ac:dyDescent="0.25">
      <c r="A25">
        <f>A10</f>
        <v>60</v>
      </c>
      <c r="B25">
        <v>2.1</v>
      </c>
      <c r="C25" s="3">
        <f t="shared" si="1"/>
        <v>0.5</v>
      </c>
      <c r="D25">
        <f t="shared" si="2"/>
        <v>-1.1631508098056809</v>
      </c>
      <c r="E25">
        <f t="shared" si="3"/>
        <v>1.359045235804621</v>
      </c>
      <c r="G25" s="8"/>
      <c r="J25">
        <v>60</v>
      </c>
      <c r="K25">
        <v>2.1</v>
      </c>
      <c r="L25" s="3">
        <f t="shared" si="4"/>
        <v>0.37</v>
      </c>
      <c r="M25">
        <f t="shared" si="5"/>
        <v>-1.5423736818535545</v>
      </c>
      <c r="N25">
        <f t="shared" si="0"/>
        <v>2.9523620662853238</v>
      </c>
      <c r="R25">
        <v>60</v>
      </c>
      <c r="S25">
        <v>2.1</v>
      </c>
      <c r="T25" s="3">
        <f t="shared" si="6"/>
        <v>0.5</v>
      </c>
      <c r="U25">
        <f t="shared" si="7"/>
        <v>-1.1631508098056809</v>
      </c>
      <c r="V25">
        <f t="shared" si="8"/>
        <v>-3.5351455036669033E-2</v>
      </c>
    </row>
    <row r="28" spans="1:23" x14ac:dyDescent="0.25">
      <c r="A28" t="s">
        <v>6</v>
      </c>
      <c r="B28" t="s">
        <v>7</v>
      </c>
      <c r="C28" t="s">
        <v>8</v>
      </c>
      <c r="D28" s="4" t="s">
        <v>12</v>
      </c>
      <c r="J28" t="s">
        <v>6</v>
      </c>
      <c r="K28" t="s">
        <v>7</v>
      </c>
      <c r="L28" t="s">
        <v>8</v>
      </c>
      <c r="M28" s="4" t="s">
        <v>12</v>
      </c>
      <c r="R28" t="s">
        <v>6</v>
      </c>
      <c r="S28" t="s">
        <v>7</v>
      </c>
      <c r="T28" t="s">
        <v>8</v>
      </c>
      <c r="U28" s="4" t="s">
        <v>12</v>
      </c>
    </row>
    <row r="29" spans="1:23" x14ac:dyDescent="0.25">
      <c r="A29">
        <f>SLOPE(D21:D25,A21:A25)</f>
        <v>2.516833968428119E-3</v>
      </c>
      <c r="B29">
        <f>INTERCEPT(D21:D25,A21:A25)</f>
        <v>-1.2080351976989339</v>
      </c>
      <c r="C29">
        <f>A29</f>
        <v>2.516833968428119E-3</v>
      </c>
      <c r="D29">
        <f>B29/C29</f>
        <v>-479.98207782192662</v>
      </c>
      <c r="J29">
        <f>SLOPE(M21:M25,J21:J25)</f>
        <v>1.168450446131381E-2</v>
      </c>
      <c r="K29">
        <f>INTERCEPT(M21:M25,J21:J25)</f>
        <v>-2.2512917986064953</v>
      </c>
      <c r="L29">
        <f>J29</f>
        <v>1.168450446131381E-2</v>
      </c>
      <c r="M29">
        <f>K29/L29</f>
        <v>-192.67327990333612</v>
      </c>
      <c r="R29">
        <f>SLOPE(U21:U25,R21:R25)</f>
        <v>-1.0933412784121731E-2</v>
      </c>
      <c r="S29">
        <f>INTERCEPT(U21:U25,R21:R25)</f>
        <v>-0.62065331201063478</v>
      </c>
      <c r="T29">
        <f>R29</f>
        <v>-1.0933412784121731E-2</v>
      </c>
      <c r="U29">
        <f>S29/T29</f>
        <v>56.766658706235901</v>
      </c>
    </row>
    <row r="33" spans="1:6" x14ac:dyDescent="0.25">
      <c r="A33" t="s">
        <v>17</v>
      </c>
      <c r="E33" t="s">
        <v>18</v>
      </c>
      <c r="F33" t="s">
        <v>19</v>
      </c>
    </row>
    <row r="34" spans="1:6" x14ac:dyDescent="0.25">
      <c r="A34" t="s">
        <v>14</v>
      </c>
      <c r="E34" t="s">
        <v>15</v>
      </c>
    </row>
    <row r="35" spans="1:6" x14ac:dyDescent="0.25">
      <c r="A35" t="s">
        <v>16</v>
      </c>
      <c r="E35" t="s">
        <v>20</v>
      </c>
    </row>
    <row r="49" spans="1:23" x14ac:dyDescent="0.25">
      <c r="A49" s="28">
        <v>7.5</v>
      </c>
      <c r="B49" s="28"/>
      <c r="C49" s="28"/>
      <c r="D49" s="28"/>
      <c r="E49" s="28"/>
      <c r="F49" s="28"/>
      <c r="J49" s="28">
        <v>7.5</v>
      </c>
      <c r="K49" s="28"/>
      <c r="L49" s="28"/>
      <c r="M49" s="28"/>
      <c r="N49" s="28"/>
      <c r="O49" s="28"/>
      <c r="R49" s="28">
        <v>7.5</v>
      </c>
      <c r="S49" s="28"/>
      <c r="T49" s="28"/>
      <c r="U49" s="28"/>
      <c r="V49" s="28"/>
      <c r="W49" s="28"/>
    </row>
    <row r="50" spans="1:23" x14ac:dyDescent="0.25">
      <c r="B50" s="1" t="s">
        <v>25</v>
      </c>
      <c r="E50" s="2"/>
      <c r="K50" s="1" t="s">
        <v>27</v>
      </c>
      <c r="N50" s="2"/>
      <c r="S50" s="1" t="s">
        <v>29</v>
      </c>
      <c r="V50" s="2"/>
    </row>
    <row r="51" spans="1:23" x14ac:dyDescent="0.25">
      <c r="B51" s="1" t="s">
        <v>26</v>
      </c>
      <c r="E51" s="2"/>
      <c r="K51" s="1" t="s">
        <v>28</v>
      </c>
      <c r="N51" s="2"/>
      <c r="S51" s="1" t="s">
        <v>30</v>
      </c>
      <c r="V51" s="2"/>
    </row>
    <row r="52" spans="1:23" x14ac:dyDescent="0.25">
      <c r="D52" t="s">
        <v>4</v>
      </c>
      <c r="E52" t="s">
        <v>5</v>
      </c>
      <c r="M52" t="s">
        <v>4</v>
      </c>
      <c r="N52" t="s">
        <v>5</v>
      </c>
      <c r="U52" t="s">
        <v>4</v>
      </c>
      <c r="V52" t="s">
        <v>5</v>
      </c>
    </row>
    <row r="53" spans="1:23" ht="18" x14ac:dyDescent="0.35">
      <c r="A53" t="s">
        <v>0</v>
      </c>
      <c r="B53" t="s">
        <v>1</v>
      </c>
      <c r="C53" t="s">
        <v>2</v>
      </c>
      <c r="D53" t="s">
        <v>3</v>
      </c>
      <c r="E53" t="s">
        <v>13</v>
      </c>
      <c r="F53" t="s">
        <v>9</v>
      </c>
      <c r="J53" t="s">
        <v>0</v>
      </c>
      <c r="K53" t="s">
        <v>1</v>
      </c>
      <c r="L53" t="s">
        <v>2</v>
      </c>
      <c r="M53" t="s">
        <v>3</v>
      </c>
      <c r="N53" t="s">
        <v>13</v>
      </c>
      <c r="O53" t="s">
        <v>9</v>
      </c>
      <c r="R53" t="s">
        <v>0</v>
      </c>
      <c r="S53" t="s">
        <v>1</v>
      </c>
      <c r="T53" t="s">
        <v>2</v>
      </c>
      <c r="U53" t="s">
        <v>3</v>
      </c>
      <c r="V53" t="s">
        <v>13</v>
      </c>
      <c r="W53" t="s">
        <v>9</v>
      </c>
    </row>
    <row r="54" spans="1:23" x14ac:dyDescent="0.25">
      <c r="A54">
        <v>10</v>
      </c>
      <c r="B54">
        <v>2.1</v>
      </c>
      <c r="C54" s="3">
        <f>E5</f>
        <v>0.53</v>
      </c>
      <c r="D54">
        <f t="shared" ref="D54:D59" si="9">LN(C54/(B54-C54))</f>
        <v>-1.0859538917961862</v>
      </c>
      <c r="E54">
        <f>(($C$63*A54)-($C$63*$D$63))</f>
        <v>1.0987893783728624</v>
      </c>
      <c r="F54" t="s">
        <v>10</v>
      </c>
      <c r="J54">
        <v>10</v>
      </c>
      <c r="K54">
        <v>2.1</v>
      </c>
      <c r="L54" s="3">
        <f>F5</f>
        <v>0.37</v>
      </c>
      <c r="M54">
        <f t="shared" ref="M54:M59" si="10">LN(L54/(K54-L54))</f>
        <v>-1.5423736818535545</v>
      </c>
      <c r="N54">
        <f>(($L$63*J54)-($L$63*$M$63))</f>
        <v>1.7477614091727336</v>
      </c>
      <c r="O54" t="s">
        <v>10</v>
      </c>
      <c r="R54">
        <v>10</v>
      </c>
      <c r="S54">
        <v>2.1</v>
      </c>
      <c r="T54" s="3">
        <f>G5</f>
        <v>0.5</v>
      </c>
      <c r="U54">
        <f t="shared" ref="U54:U59" si="11">LN(T54/(S54-T54))</f>
        <v>-1.1631508098056809</v>
      </c>
      <c r="V54">
        <f>(($T$63*R54)-($T$63*$U$63))</f>
        <v>0.51131918416941746</v>
      </c>
      <c r="W54" t="s">
        <v>10</v>
      </c>
    </row>
    <row r="55" spans="1:23" x14ac:dyDescent="0.25">
      <c r="A55">
        <v>20</v>
      </c>
      <c r="B55">
        <v>2.1</v>
      </c>
      <c r="C55" s="3">
        <f t="shared" ref="C55:C59" si="12">E6</f>
        <v>0.5</v>
      </c>
      <c r="D55">
        <f t="shared" si="9"/>
        <v>-1.1631508098056809</v>
      </c>
      <c r="E55">
        <f t="shared" ref="E55:E59" si="13">(($C$63*A55)-($C$63*$D$63))</f>
        <v>1.0826990205146578</v>
      </c>
      <c r="F55" s="4" t="s">
        <v>11</v>
      </c>
      <c r="J55">
        <v>20</v>
      </c>
      <c r="K55">
        <v>2.1</v>
      </c>
      <c r="L55" s="3">
        <f t="shared" ref="L55:L59" si="14">F6</f>
        <v>0.3</v>
      </c>
      <c r="M55">
        <f t="shared" si="10"/>
        <v>-1.791759469228055</v>
      </c>
      <c r="N55">
        <f t="shared" ref="N55:N59" si="15">(($L$63*J55)-($L$63*$M$63))</f>
        <v>1.771033727989836</v>
      </c>
      <c r="O55" s="4" t="s">
        <v>11</v>
      </c>
      <c r="R55">
        <v>20</v>
      </c>
      <c r="S55">
        <v>2.1</v>
      </c>
      <c r="T55" s="3">
        <f t="shared" ref="T55:T59" si="16">G6</f>
        <v>0.6</v>
      </c>
      <c r="U55">
        <f t="shared" si="11"/>
        <v>-0.91629073187415511</v>
      </c>
      <c r="V55">
        <f t="shared" ref="V55:V59" si="17">(($T$63*R55)-($T$63*$U$63))</f>
        <v>0.40198505632820014</v>
      </c>
      <c r="W55" s="4" t="s">
        <v>11</v>
      </c>
    </row>
    <row r="56" spans="1:23" x14ac:dyDescent="0.25">
      <c r="A56">
        <v>30</v>
      </c>
      <c r="B56">
        <v>2.1</v>
      </c>
      <c r="C56" s="3">
        <f t="shared" si="12"/>
        <v>0.5</v>
      </c>
      <c r="D56">
        <f t="shared" si="9"/>
        <v>-1.1631508098056809</v>
      </c>
      <c r="E56">
        <f t="shared" si="13"/>
        <v>1.066608662656453</v>
      </c>
      <c r="J56">
        <v>30</v>
      </c>
      <c r="K56">
        <v>2.1</v>
      </c>
      <c r="L56" s="3">
        <f t="shared" si="14"/>
        <v>0.33</v>
      </c>
      <c r="M56">
        <f t="shared" si="10"/>
        <v>-1.6796421711073488</v>
      </c>
      <c r="N56">
        <f t="shared" si="15"/>
        <v>1.7943060468069383</v>
      </c>
      <c r="R56">
        <v>30</v>
      </c>
      <c r="S56">
        <v>2.1</v>
      </c>
      <c r="T56" s="3">
        <f t="shared" si="16"/>
        <v>0.63</v>
      </c>
      <c r="U56">
        <f t="shared" si="11"/>
        <v>-0.84729786038720378</v>
      </c>
      <c r="V56">
        <f t="shared" si="17"/>
        <v>0.29265092848698288</v>
      </c>
    </row>
    <row r="57" spans="1:23" x14ac:dyDescent="0.25">
      <c r="A57">
        <v>40</v>
      </c>
      <c r="B57">
        <v>2.1</v>
      </c>
      <c r="C57" s="3">
        <f t="shared" si="12"/>
        <v>0.5</v>
      </c>
      <c r="D57">
        <f t="shared" si="9"/>
        <v>-1.1631508098056809</v>
      </c>
      <c r="E57">
        <f t="shared" si="13"/>
        <v>1.0505183047982485</v>
      </c>
      <c r="J57">
        <v>40</v>
      </c>
      <c r="K57">
        <v>2.1</v>
      </c>
      <c r="L57" s="3">
        <f t="shared" si="14"/>
        <v>0.4</v>
      </c>
      <c r="M57">
        <f t="shared" si="10"/>
        <v>-1.4469189829363254</v>
      </c>
      <c r="N57">
        <f t="shared" si="15"/>
        <v>1.8175783656240407</v>
      </c>
      <c r="R57">
        <v>40</v>
      </c>
      <c r="S57">
        <v>2.1</v>
      </c>
      <c r="T57" s="3">
        <f t="shared" si="16"/>
        <v>0.6</v>
      </c>
      <c r="U57">
        <f t="shared" si="11"/>
        <v>-0.91629073187415511</v>
      </c>
      <c r="V57">
        <f t="shared" si="17"/>
        <v>0.18331680064576555</v>
      </c>
    </row>
    <row r="58" spans="1:23" x14ac:dyDescent="0.25">
      <c r="A58">
        <v>50</v>
      </c>
      <c r="B58">
        <v>2.1</v>
      </c>
      <c r="C58" s="3">
        <f t="shared" si="12"/>
        <v>0.5</v>
      </c>
      <c r="D58">
        <f t="shared" si="9"/>
        <v>-1.1631508098056809</v>
      </c>
      <c r="E58">
        <f t="shared" si="13"/>
        <v>1.0344279469400439</v>
      </c>
      <c r="J58">
        <v>50</v>
      </c>
      <c r="K58">
        <v>2.1</v>
      </c>
      <c r="L58" s="3">
        <f t="shared" si="14"/>
        <v>0.4</v>
      </c>
      <c r="M58">
        <f t="shared" si="10"/>
        <v>-1.4469189829363254</v>
      </c>
      <c r="N58">
        <f t="shared" si="15"/>
        <v>1.840850684441143</v>
      </c>
      <c r="R58">
        <v>50</v>
      </c>
      <c r="S58">
        <v>2.1</v>
      </c>
      <c r="T58" s="3">
        <f t="shared" si="16"/>
        <v>0.4</v>
      </c>
      <c r="U58">
        <f t="shared" si="11"/>
        <v>-1.4469189829363254</v>
      </c>
      <c r="V58">
        <f t="shared" si="17"/>
        <v>7.3982672804548177E-2</v>
      </c>
    </row>
    <row r="59" spans="1:23" x14ac:dyDescent="0.25">
      <c r="A59">
        <v>60</v>
      </c>
      <c r="B59">
        <v>2.1</v>
      </c>
      <c r="C59" s="3">
        <f t="shared" si="12"/>
        <v>0.47</v>
      </c>
      <c r="D59">
        <f t="shared" si="9"/>
        <v>-1.2436025990967039</v>
      </c>
      <c r="E59">
        <f t="shared" si="13"/>
        <v>1.0183375890818394</v>
      </c>
      <c r="J59">
        <v>60</v>
      </c>
      <c r="K59">
        <v>2.1</v>
      </c>
      <c r="L59" s="3">
        <f t="shared" si="14"/>
        <v>0.3</v>
      </c>
      <c r="M59">
        <f t="shared" si="10"/>
        <v>-1.791759469228055</v>
      </c>
      <c r="N59">
        <f t="shared" si="15"/>
        <v>1.8641230032582454</v>
      </c>
      <c r="R59">
        <v>60</v>
      </c>
      <c r="S59">
        <v>2.1</v>
      </c>
      <c r="T59" s="3">
        <f t="shared" si="16"/>
        <v>0.5</v>
      </c>
      <c r="U59">
        <f t="shared" si="11"/>
        <v>-1.1631508098056809</v>
      </c>
      <c r="V59">
        <f t="shared" si="17"/>
        <v>-3.5351455036669033E-2</v>
      </c>
    </row>
    <row r="62" spans="1:23" x14ac:dyDescent="0.25">
      <c r="A62" t="s">
        <v>6</v>
      </c>
      <c r="B62" t="s">
        <v>7</v>
      </c>
      <c r="C62" t="s">
        <v>8</v>
      </c>
      <c r="D62" s="4" t="s">
        <v>12</v>
      </c>
      <c r="J62" t="s">
        <v>6</v>
      </c>
      <c r="K62" t="s">
        <v>7</v>
      </c>
      <c r="L62" t="s">
        <v>8</v>
      </c>
      <c r="M62" s="4" t="s">
        <v>12</v>
      </c>
      <c r="R62" t="s">
        <v>6</v>
      </c>
      <c r="S62" t="s">
        <v>7</v>
      </c>
      <c r="T62" t="s">
        <v>8</v>
      </c>
      <c r="U62" s="4" t="s">
        <v>12</v>
      </c>
    </row>
    <row r="63" spans="1:23" x14ac:dyDescent="0.25">
      <c r="A63">
        <f>SLOPE(D55:D59,A55:A59)</f>
        <v>-1.6090357858204608E-3</v>
      </c>
      <c r="B63">
        <f>INTERCEPT(D55:D59,A55:A59)</f>
        <v>-1.114879736231067</v>
      </c>
      <c r="C63">
        <f>A63</f>
        <v>-1.6090357858204608E-3</v>
      </c>
      <c r="D63">
        <f>B63/C63</f>
        <v>692.88684941371923</v>
      </c>
      <c r="J63">
        <f>SLOPE(M55:M59,J55:J59)</f>
        <v>2.3272318817102338E-3</v>
      </c>
      <c r="K63">
        <f>INTERCEPT(M55:M59,J55:J59)</f>
        <v>-1.7244890903556314</v>
      </c>
      <c r="L63">
        <f>J63</f>
        <v>2.3272318817102338E-3</v>
      </c>
      <c r="M63">
        <f>K63/L63</f>
        <v>-741.00441125288319</v>
      </c>
      <c r="R63">
        <f>SLOPE(U55:U59,R55:R59)</f>
        <v>-1.0933412784121731E-2</v>
      </c>
      <c r="S63">
        <f>INTERCEPT(U55:U59,R55:R59)</f>
        <v>-0.62065331201063478</v>
      </c>
      <c r="T63">
        <f>R63</f>
        <v>-1.0933412784121731E-2</v>
      </c>
      <c r="U63">
        <f>S63/T63</f>
        <v>56.766658706235901</v>
      </c>
    </row>
    <row r="79" spans="1:23" x14ac:dyDescent="0.25">
      <c r="A79" s="28">
        <v>8.5</v>
      </c>
      <c r="B79" s="28"/>
      <c r="C79" s="28"/>
      <c r="D79" s="28"/>
      <c r="E79" s="28"/>
      <c r="F79" s="28"/>
      <c r="J79" s="28">
        <v>8.5</v>
      </c>
      <c r="K79" s="28"/>
      <c r="L79" s="28"/>
      <c r="M79" s="28"/>
      <c r="N79" s="28"/>
      <c r="O79" s="28"/>
      <c r="R79" s="28">
        <v>8.5</v>
      </c>
      <c r="S79" s="28"/>
      <c r="T79" s="28"/>
      <c r="U79" s="28"/>
      <c r="V79" s="28"/>
      <c r="W79" s="28"/>
    </row>
    <row r="80" spans="1:23" x14ac:dyDescent="0.25">
      <c r="B80" s="1" t="s">
        <v>25</v>
      </c>
      <c r="E80" s="2"/>
      <c r="K80" s="1" t="s">
        <v>27</v>
      </c>
      <c r="N80" s="2"/>
      <c r="S80" s="1" t="s">
        <v>29</v>
      </c>
      <c r="V80" s="2"/>
    </row>
    <row r="81" spans="1:23" x14ac:dyDescent="0.25">
      <c r="B81" s="1" t="s">
        <v>26</v>
      </c>
      <c r="E81" s="2"/>
      <c r="K81" s="6" t="s">
        <v>28</v>
      </c>
      <c r="N81" s="2"/>
      <c r="S81" s="1" t="s">
        <v>30</v>
      </c>
      <c r="V81" s="2"/>
    </row>
    <row r="82" spans="1:23" x14ac:dyDescent="0.25">
      <c r="D82" t="s">
        <v>4</v>
      </c>
      <c r="E82" t="s">
        <v>5</v>
      </c>
      <c r="M82" t="s">
        <v>4</v>
      </c>
      <c r="N82" t="s">
        <v>5</v>
      </c>
      <c r="U82" t="s">
        <v>4</v>
      </c>
      <c r="V82" t="s">
        <v>5</v>
      </c>
    </row>
    <row r="83" spans="1:23" ht="18" x14ac:dyDescent="0.35">
      <c r="A83" t="s">
        <v>0</v>
      </c>
      <c r="B83" t="s">
        <v>1</v>
      </c>
      <c r="C83" t="s">
        <v>2</v>
      </c>
      <c r="D83" t="s">
        <v>3</v>
      </c>
      <c r="E83" t="s">
        <v>13</v>
      </c>
      <c r="F83" t="s">
        <v>9</v>
      </c>
      <c r="J83" t="s">
        <v>0</v>
      </c>
      <c r="K83" t="s">
        <v>1</v>
      </c>
      <c r="L83" t="s">
        <v>2</v>
      </c>
      <c r="M83" t="s">
        <v>3</v>
      </c>
      <c r="N83" t="s">
        <v>13</v>
      </c>
      <c r="O83" t="s">
        <v>9</v>
      </c>
      <c r="R83" t="s">
        <v>0</v>
      </c>
      <c r="S83" t="s">
        <v>1</v>
      </c>
      <c r="T83" t="s">
        <v>2</v>
      </c>
      <c r="U83" t="s">
        <v>3</v>
      </c>
      <c r="V83" t="s">
        <v>13</v>
      </c>
      <c r="W83" t="s">
        <v>9</v>
      </c>
    </row>
    <row r="84" spans="1:23" x14ac:dyDescent="0.25">
      <c r="A84">
        <v>10</v>
      </c>
      <c r="B84">
        <v>2.1</v>
      </c>
      <c r="C84" s="3">
        <f>H5</f>
        <v>0.53333333333333333</v>
      </c>
      <c r="D84">
        <f t="shared" ref="D84:D89" si="18">LN(C84/(B84-C84))</f>
        <v>-1.0775588794702775</v>
      </c>
      <c r="E84">
        <f>(($C$93*A84)-($C$93*$D$93))</f>
        <v>1.1388199070116227</v>
      </c>
      <c r="F84" t="s">
        <v>10</v>
      </c>
      <c r="J84">
        <v>10</v>
      </c>
      <c r="K84">
        <v>2.1</v>
      </c>
      <c r="L84" s="3">
        <f>I5</f>
        <v>0.53333333333333333</v>
      </c>
      <c r="M84">
        <f t="shared" ref="M84:M89" si="19">LN(L84/(K84-L84))</f>
        <v>-1.0775588794702775</v>
      </c>
      <c r="N84">
        <f>(($L$93*J84)-($L$93*$M$93))</f>
        <v>1.2047407064670972</v>
      </c>
      <c r="O84" t="s">
        <v>10</v>
      </c>
      <c r="R84">
        <v>10</v>
      </c>
      <c r="S84">
        <v>2.1</v>
      </c>
      <c r="T84" s="3">
        <f>J5</f>
        <v>0.6333333333333333</v>
      </c>
      <c r="U84">
        <f>LN(T84/(S84-T84))</f>
        <v>-0.83975065475182087</v>
      </c>
      <c r="V84">
        <f>(($T$93*R84)-($T$93*$U$93))</f>
        <v>1.3067084370315372</v>
      </c>
      <c r="W84" t="s">
        <v>10</v>
      </c>
    </row>
    <row r="85" spans="1:23" x14ac:dyDescent="0.25">
      <c r="A85">
        <v>20</v>
      </c>
      <c r="B85">
        <v>2.1</v>
      </c>
      <c r="C85" s="3">
        <f t="shared" ref="C85:C89" si="20">H6</f>
        <v>0.56666666666666676</v>
      </c>
      <c r="D85">
        <f t="shared" si="18"/>
        <v>-0.99542805243287868</v>
      </c>
      <c r="E85">
        <f t="shared" ref="E85:E89" si="21">(($C$93*A85)-($C$93*$D$93))</f>
        <v>1.1129626736570188</v>
      </c>
      <c r="F85" s="4" t="s">
        <v>11</v>
      </c>
      <c r="J85">
        <v>20</v>
      </c>
      <c r="K85">
        <v>2.1</v>
      </c>
      <c r="L85" s="3">
        <f t="shared" ref="L85:L89" si="22">I6</f>
        <v>0.5</v>
      </c>
      <c r="M85">
        <f t="shared" si="19"/>
        <v>-1.1631508098056809</v>
      </c>
      <c r="N85">
        <f t="shared" ref="N85:N86" si="23">(($L$93*J85)-($L$93*$M$93))</f>
        <v>1.212897876665209</v>
      </c>
      <c r="O85" s="4" t="s">
        <v>11</v>
      </c>
      <c r="R85">
        <v>20</v>
      </c>
      <c r="S85">
        <v>2.1</v>
      </c>
      <c r="T85" s="3">
        <f t="shared" ref="T85:T89" si="24">J6</f>
        <v>0.5</v>
      </c>
      <c r="U85">
        <f t="shared" ref="U85:U89" si="25">LN(T85/(S85-T85))</f>
        <v>-1.1631508098056809</v>
      </c>
      <c r="V85">
        <f t="shared" ref="V85:V89" si="26">(($T$93*R85)-($T$93*$U$93))</f>
        <v>1.371648192385948</v>
      </c>
      <c r="W85" s="4" t="s">
        <v>11</v>
      </c>
    </row>
    <row r="86" spans="1:23" x14ac:dyDescent="0.25">
      <c r="A86">
        <v>30</v>
      </c>
      <c r="B86">
        <v>2.1</v>
      </c>
      <c r="C86" s="3">
        <f t="shared" si="20"/>
        <v>0.46666666666666662</v>
      </c>
      <c r="D86">
        <f t="shared" si="18"/>
        <v>-1.2527629684953683</v>
      </c>
      <c r="E86">
        <f t="shared" si="21"/>
        <v>1.087105440302415</v>
      </c>
      <c r="J86">
        <v>30</v>
      </c>
      <c r="K86">
        <v>2.1</v>
      </c>
      <c r="L86" s="3">
        <f t="shared" si="22"/>
        <v>0.5</v>
      </c>
      <c r="M86">
        <f t="shared" si="19"/>
        <v>-1.1631508098056809</v>
      </c>
      <c r="N86">
        <f t="shared" si="23"/>
        <v>1.221055046863321</v>
      </c>
      <c r="R86">
        <v>30</v>
      </c>
      <c r="S86">
        <v>2.1</v>
      </c>
      <c r="T86" s="3">
        <f t="shared" si="24"/>
        <v>0.56666666666666676</v>
      </c>
      <c r="U86">
        <f t="shared" si="25"/>
        <v>-0.99542805243287868</v>
      </c>
      <c r="V86">
        <f t="shared" si="26"/>
        <v>1.4365879477403591</v>
      </c>
    </row>
    <row r="87" spans="1:23" x14ac:dyDescent="0.25">
      <c r="A87">
        <v>40</v>
      </c>
      <c r="B87">
        <v>2.1</v>
      </c>
      <c r="C87" s="3">
        <f t="shared" si="20"/>
        <v>0.33333333333333331</v>
      </c>
      <c r="D87">
        <f t="shared" si="18"/>
        <v>-1.6677068205580763</v>
      </c>
      <c r="E87">
        <f t="shared" si="21"/>
        <v>1.0612482069478111</v>
      </c>
      <c r="J87">
        <v>40</v>
      </c>
      <c r="K87">
        <v>2.1</v>
      </c>
      <c r="L87" s="3">
        <f t="shared" si="22"/>
        <v>0.5</v>
      </c>
      <c r="M87">
        <f t="shared" si="19"/>
        <v>-1.1631508098056809</v>
      </c>
      <c r="N87">
        <f>(($L$93*J87)-($L$93*$M$93))</f>
        <v>1.2292122170614328</v>
      </c>
      <c r="R87">
        <v>40</v>
      </c>
      <c r="S87">
        <v>2.1</v>
      </c>
      <c r="T87" s="3">
        <f t="shared" si="24"/>
        <v>0.56666666666666676</v>
      </c>
      <c r="U87">
        <f t="shared" si="25"/>
        <v>-0.99542805243287868</v>
      </c>
      <c r="V87">
        <f t="shared" si="26"/>
        <v>1.50152770309477</v>
      </c>
    </row>
    <row r="88" spans="1:23" x14ac:dyDescent="0.25">
      <c r="A88">
        <v>50</v>
      </c>
      <c r="B88">
        <v>2.1</v>
      </c>
      <c r="C88" s="3">
        <f t="shared" si="20"/>
        <v>0.43333333333333335</v>
      </c>
      <c r="D88">
        <f t="shared" si="18"/>
        <v>-1.3470736479666092</v>
      </c>
      <c r="E88">
        <f t="shared" si="21"/>
        <v>1.0353909735932072</v>
      </c>
      <c r="J88">
        <v>50</v>
      </c>
      <c r="K88">
        <v>2.1</v>
      </c>
      <c r="L88" s="3">
        <f t="shared" si="22"/>
        <v>0.46666666666666662</v>
      </c>
      <c r="M88">
        <f t="shared" si="19"/>
        <v>-1.2527629684953683</v>
      </c>
      <c r="N88">
        <f>(($L$93*J88)-($L$93*$M$93))</f>
        <v>1.2373693872595448</v>
      </c>
      <c r="R88">
        <v>50</v>
      </c>
      <c r="S88">
        <v>2.1</v>
      </c>
      <c r="T88" s="3">
        <f t="shared" si="24"/>
        <v>0.6333333333333333</v>
      </c>
      <c r="U88">
        <f t="shared" si="25"/>
        <v>-0.83975065475182087</v>
      </c>
      <c r="V88">
        <f t="shared" si="26"/>
        <v>1.5664674584491809</v>
      </c>
    </row>
    <row r="89" spans="1:23" x14ac:dyDescent="0.25">
      <c r="A89">
        <v>60</v>
      </c>
      <c r="B89">
        <v>2.1</v>
      </c>
      <c r="C89" s="3">
        <f t="shared" si="20"/>
        <v>0.53333333333333333</v>
      </c>
      <c r="D89">
        <f t="shared" si="18"/>
        <v>-1.0775588794702775</v>
      </c>
      <c r="E89">
        <f t="shared" si="21"/>
        <v>1.0095337402386035</v>
      </c>
      <c r="J89">
        <v>60</v>
      </c>
      <c r="K89">
        <v>2.1</v>
      </c>
      <c r="L89" s="3">
        <f t="shared" si="22"/>
        <v>0.53333333333333333</v>
      </c>
      <c r="M89">
        <f t="shared" si="19"/>
        <v>-1.0775588794702775</v>
      </c>
      <c r="N89">
        <f>(($C$29*J89)-($C$29*$D$29))</f>
        <v>1.359045235804621</v>
      </c>
      <c r="R89">
        <v>60</v>
      </c>
      <c r="S89">
        <v>2.1</v>
      </c>
      <c r="T89" s="3">
        <f t="shared" si="24"/>
        <v>0.6</v>
      </c>
      <c r="U89">
        <f t="shared" si="25"/>
        <v>-0.91629073187415511</v>
      </c>
      <c r="V89">
        <f t="shared" si="26"/>
        <v>1.631407213803592</v>
      </c>
    </row>
    <row r="92" spans="1:23" x14ac:dyDescent="0.25">
      <c r="A92" t="s">
        <v>6</v>
      </c>
      <c r="B92" t="s">
        <v>7</v>
      </c>
      <c r="C92" t="s">
        <v>8</v>
      </c>
      <c r="D92" s="4" t="s">
        <v>12</v>
      </c>
      <c r="J92" t="s">
        <v>6</v>
      </c>
      <c r="K92" t="s">
        <v>7</v>
      </c>
      <c r="L92" t="s">
        <v>8</v>
      </c>
      <c r="M92" s="4" t="s">
        <v>12</v>
      </c>
      <c r="R92" t="s">
        <v>6</v>
      </c>
      <c r="S92" t="s">
        <v>7</v>
      </c>
      <c r="T92" t="s">
        <v>8</v>
      </c>
      <c r="U92" s="4" t="s">
        <v>12</v>
      </c>
    </row>
    <row r="93" spans="1:23" x14ac:dyDescent="0.25">
      <c r="A93">
        <f>SLOPE(D85:D89,A85:A89)</f>
        <v>-2.5857233354603863E-3</v>
      </c>
      <c r="B93">
        <f>INTERCEPT(D85:D89,A85:A89)</f>
        <v>-1.1646771403662266</v>
      </c>
      <c r="C93">
        <f>A93</f>
        <v>-2.5857233354603863E-3</v>
      </c>
      <c r="D93">
        <f>B93/C93</f>
        <v>450.42604689911911</v>
      </c>
      <c r="J93">
        <f>SLOPE(M85:M89,J85:J89)</f>
        <v>8.1571701981119293E-4</v>
      </c>
      <c r="K93">
        <f>INTERCEPT(M85:M89,J85:J89)</f>
        <v>-1.1965835362689852</v>
      </c>
      <c r="L93">
        <f>J93</f>
        <v>8.1571701981119293E-4</v>
      </c>
      <c r="M93">
        <f>K93/L93</f>
        <v>-1466.9101014294738</v>
      </c>
      <c r="R93">
        <f>SLOPE(U85:U89,R85:R89)</f>
        <v>6.4939755354410933E-3</v>
      </c>
      <c r="S93">
        <f>INTERCEPT(U85:U89,R85:R89)</f>
        <v>-1.2417686816771263</v>
      </c>
      <c r="T93">
        <f>R93</f>
        <v>6.4939755354410933E-3</v>
      </c>
      <c r="U93">
        <f>S93/T93</f>
        <v>-191.21856479134104</v>
      </c>
    </row>
    <row r="98" spans="2:11" x14ac:dyDescent="0.25">
      <c r="B98" s="29" t="s">
        <v>57</v>
      </c>
      <c r="C98" s="29"/>
      <c r="D98" s="29"/>
      <c r="E98" s="29"/>
      <c r="F98" s="29"/>
      <c r="G98" s="29"/>
      <c r="H98" s="29"/>
      <c r="I98" s="29"/>
      <c r="J98" s="29"/>
      <c r="K98" s="29"/>
    </row>
    <row r="99" spans="2:11" x14ac:dyDescent="0.25">
      <c r="B99" s="20" t="s">
        <v>85</v>
      </c>
      <c r="C99" s="20">
        <v>1</v>
      </c>
      <c r="D99" s="20">
        <v>2</v>
      </c>
      <c r="E99" s="20">
        <v>3</v>
      </c>
      <c r="F99" s="20">
        <v>4</v>
      </c>
      <c r="G99" s="20">
        <v>5</v>
      </c>
      <c r="H99" s="20">
        <v>6</v>
      </c>
      <c r="I99" s="20">
        <v>7</v>
      </c>
      <c r="J99" s="20">
        <v>8</v>
      </c>
      <c r="K99" s="20">
        <v>9</v>
      </c>
    </row>
    <row r="100" spans="2:11" x14ac:dyDescent="0.25">
      <c r="B100" s="20" t="s">
        <v>86</v>
      </c>
      <c r="C100" s="29">
        <v>6.5</v>
      </c>
      <c r="D100" s="29"/>
      <c r="E100" s="29"/>
      <c r="F100" s="29">
        <v>7.5</v>
      </c>
      <c r="G100" s="29"/>
      <c r="H100" s="29"/>
      <c r="I100" s="29">
        <v>8.5</v>
      </c>
      <c r="J100" s="29"/>
      <c r="K100" s="29"/>
    </row>
    <row r="101" spans="2:11" x14ac:dyDescent="0.25">
      <c r="B101" s="21" t="s">
        <v>87</v>
      </c>
      <c r="C101" s="20" t="s">
        <v>25</v>
      </c>
      <c r="D101" s="20" t="s">
        <v>27</v>
      </c>
      <c r="E101" s="20" t="s">
        <v>29</v>
      </c>
      <c r="F101" s="20" t="s">
        <v>25</v>
      </c>
      <c r="G101" s="20" t="s">
        <v>27</v>
      </c>
      <c r="H101" s="20" t="s">
        <v>29</v>
      </c>
      <c r="I101" s="20" t="s">
        <v>25</v>
      </c>
      <c r="J101" s="20" t="s">
        <v>27</v>
      </c>
      <c r="K101" s="20" t="s">
        <v>29</v>
      </c>
    </row>
    <row r="102" spans="2:11" x14ac:dyDescent="0.25">
      <c r="B102" s="20" t="s">
        <v>88</v>
      </c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2:11" ht="18" x14ac:dyDescent="0.35">
      <c r="B103" s="22" t="s">
        <v>92</v>
      </c>
      <c r="C103" s="27">
        <f>'Thomas Linear_Mn'!D29</f>
        <v>3.8959826562439091E-2</v>
      </c>
      <c r="D103" s="27">
        <f>'Thomas Linear_Mn'!L29</f>
        <v>2.3548623542842834E-2</v>
      </c>
      <c r="E103" s="27">
        <f>'Thomas Linear_Mn'!T29</f>
        <v>-1.384961709066773E-2</v>
      </c>
      <c r="F103" s="27">
        <f>'Thomas Linear_Mn'!D57</f>
        <v>-5.6241165509868046E-2</v>
      </c>
      <c r="G103" s="27">
        <f>'Thomas Linear_Mn'!L57</f>
        <v>9.0565925555087232E-2</v>
      </c>
      <c r="H103" s="27">
        <f>'Thomas Linear_Mn'!T57</f>
        <v>-1.384961709066773E-2</v>
      </c>
      <c r="I103" s="27">
        <f>'Thomas Linear_Mn'!D86</f>
        <v>-3.6560783156793793E-2</v>
      </c>
      <c r="J103" s="27">
        <f>'Thomas Linear_Mn'!L86</f>
        <v>0.17928647795421562</v>
      </c>
      <c r="K103" s="27">
        <f>'Thomas Linear_Mn'!T86</f>
        <v>4.665245345321322E-2</v>
      </c>
    </row>
    <row r="104" spans="2:11" ht="18" x14ac:dyDescent="0.35">
      <c r="B104" s="21" t="s">
        <v>93</v>
      </c>
      <c r="C104" s="27">
        <f>'Thomas Linear_Mn'!C29</f>
        <v>1.1984923659181515E-3</v>
      </c>
      <c r="D104" s="27">
        <f>'Thomas Linear_Mn'!K29</f>
        <v>5.5640497434827647E-3</v>
      </c>
      <c r="E104" s="27">
        <f>'Thomas Linear_Mn'!S29</f>
        <v>-5.2063870400579663E-3</v>
      </c>
      <c r="F104" s="27">
        <f>'Thomas Linear_Mn'!C57</f>
        <v>-7.6620751705736229E-4</v>
      </c>
      <c r="G104" s="27">
        <f>'Thomas Linear_Mn'!K57</f>
        <v>1.1082056579572546E-3</v>
      </c>
      <c r="H104" s="27">
        <f>'Thomas Linear_Mn'!S57</f>
        <v>-5.2063870400579663E-3</v>
      </c>
      <c r="I104" s="27">
        <f>'Thomas Linear_Mn'!C86</f>
        <v>-1.2312968264097043E-3</v>
      </c>
      <c r="J104" s="27">
        <f>'Thomas Linear_Mn'!K86</f>
        <v>3.8843667610057015E-4</v>
      </c>
      <c r="K104" s="27">
        <f>'Thomas Linear_Mn'!S86</f>
        <v>3.0923693025909967E-3</v>
      </c>
    </row>
    <row r="105" spans="2:11" ht="17.25" x14ac:dyDescent="0.25">
      <c r="B105" s="24" t="s">
        <v>91</v>
      </c>
      <c r="C105" s="25">
        <v>0.36</v>
      </c>
      <c r="D105" s="25">
        <v>0.6</v>
      </c>
      <c r="E105" s="25">
        <v>0.15</v>
      </c>
      <c r="F105" s="25">
        <v>0.71</v>
      </c>
      <c r="G105" s="26">
        <v>5.0000000000000002E-5</v>
      </c>
      <c r="H105" s="25">
        <v>0.15</v>
      </c>
      <c r="I105" s="25">
        <v>0.1</v>
      </c>
      <c r="J105" s="25">
        <v>0.04</v>
      </c>
      <c r="K105" s="25">
        <v>0.06</v>
      </c>
    </row>
    <row r="106" spans="2:11" x14ac:dyDescent="0.25">
      <c r="B106" s="21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2:11" x14ac:dyDescent="0.25">
      <c r="B107" s="20" t="s">
        <v>89</v>
      </c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2:11" ht="18" x14ac:dyDescent="0.35">
      <c r="B108" s="21" t="s">
        <v>94</v>
      </c>
      <c r="C108" s="27">
        <f>'Adam Bohaart linear_Mn'!D33</f>
        <v>-48.133174144785514</v>
      </c>
      <c r="D108" s="27">
        <f>'Adam Bohaart linear_Mn'!L33</f>
        <v>-24.225036225313652</v>
      </c>
      <c r="E108" s="27">
        <f>'Adam Bohaart linear_Mn'!S33</f>
        <v>26.478390224820604</v>
      </c>
      <c r="F108" s="27">
        <f>'Adam Bohaart linear_Mn'!D65</f>
        <v>78.888570611291854</v>
      </c>
      <c r="G108" s="27">
        <f>'Adam Bohaart linear_Mn'!L65</f>
        <v>-103.23965383052916</v>
      </c>
      <c r="H108" s="27">
        <f>'Adam Bohaart linear_Mn'!S66</f>
        <v>26.478390224820604</v>
      </c>
      <c r="I108" s="27">
        <f>'Adam Bohaart linear_Mn'!D103</f>
        <v>51.56534241091402</v>
      </c>
      <c r="J108" s="27">
        <f>'Adam Bohaart linear_Mn'!L103</f>
        <v>-255.51425195188742</v>
      </c>
      <c r="K108" s="27">
        <f>'Adam Bohaart linear_Mn'!S103</f>
        <v>-65.794929873491839</v>
      </c>
    </row>
    <row r="109" spans="2:11" ht="18" x14ac:dyDescent="0.35">
      <c r="B109" s="21" t="s">
        <v>95</v>
      </c>
      <c r="C109" s="23">
        <f>'Adam Bohaart linear_Mn'!C33</f>
        <v>1.0246446745953944E-3</v>
      </c>
      <c r="D109" s="23">
        <f>'Adam Bohaart linear_Mn'!K33</f>
        <v>4.8602416533257021E-3</v>
      </c>
      <c r="E109" s="23">
        <f>'Adam Bohaart linear_Mn'!R33</f>
        <v>-3.8995161231690748E-3</v>
      </c>
      <c r="F109" s="23">
        <f>'Adam &amp; bohaart linear_Fe'!C65</f>
        <v>-1.0124012965961366E-2</v>
      </c>
      <c r="G109" s="23">
        <f>'Adam Bohaart linear_Mn'!K65</f>
        <v>9.160566316545525E-4</v>
      </c>
      <c r="H109" s="23">
        <f>'Adam Bohaart linear_Mn'!R66</f>
        <v>-3.8995161231690748E-3</v>
      </c>
      <c r="I109" s="23">
        <f>'Adam Bohaart linear_Mn'!C103</f>
        <v>-9.30272456126628E-4</v>
      </c>
      <c r="J109" s="23">
        <f>'Adam Bohaart linear_Mn'!K103</f>
        <v>2.8611509899138652E-4</v>
      </c>
      <c r="K109" s="23">
        <f>'Adam Bohaart linear_Mn'!R103</f>
        <v>2.2660416604673023E-3</v>
      </c>
    </row>
    <row r="110" spans="2:11" ht="17.25" x14ac:dyDescent="0.25">
      <c r="B110" s="24" t="s">
        <v>91</v>
      </c>
      <c r="C110" s="25">
        <v>0.37</v>
      </c>
      <c r="D110" s="25">
        <v>0.6</v>
      </c>
      <c r="E110" s="25">
        <v>0.15</v>
      </c>
      <c r="F110" s="25">
        <v>0.71</v>
      </c>
      <c r="G110" s="26">
        <v>6.9999999999999994E-5</v>
      </c>
      <c r="H110" s="25">
        <v>0.16</v>
      </c>
      <c r="I110" s="25">
        <v>0.1</v>
      </c>
      <c r="J110" s="25">
        <v>0.04</v>
      </c>
      <c r="K110" s="25">
        <v>0.06</v>
      </c>
    </row>
    <row r="111" spans="2:11" x14ac:dyDescent="0.25">
      <c r="B111" s="21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2:11" x14ac:dyDescent="0.25">
      <c r="B112" s="20" t="s">
        <v>90</v>
      </c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2:12" ht="18.75" x14ac:dyDescent="0.35">
      <c r="B113" s="21" t="s">
        <v>96</v>
      </c>
      <c r="C113" s="27">
        <f>C29</f>
        <v>2.516833968428119E-3</v>
      </c>
      <c r="D113" s="27">
        <f>L29</f>
        <v>1.168450446131381E-2</v>
      </c>
      <c r="E113" s="27">
        <f>T29</f>
        <v>-1.0933412784121731E-2</v>
      </c>
      <c r="F113" s="27">
        <f>C63</f>
        <v>-1.6090357858204608E-3</v>
      </c>
      <c r="G113" s="27">
        <f>L63</f>
        <v>2.3272318817102338E-3</v>
      </c>
      <c r="H113" s="27">
        <f>T63</f>
        <v>-1.0933412784121731E-2</v>
      </c>
      <c r="I113" s="27">
        <f>C93</f>
        <v>-2.5857233354603863E-3</v>
      </c>
      <c r="J113" s="27">
        <f>L93</f>
        <v>8.1571701981119293E-4</v>
      </c>
      <c r="K113" s="27">
        <f>T93</f>
        <v>6.4939755354410933E-3</v>
      </c>
    </row>
    <row r="114" spans="2:12" x14ac:dyDescent="0.25">
      <c r="B114" s="22" t="s">
        <v>97</v>
      </c>
      <c r="C114" s="27">
        <f>D29</f>
        <v>-479.98207782192662</v>
      </c>
      <c r="D114" s="27">
        <f>M29</f>
        <v>-192.67327990333612</v>
      </c>
      <c r="E114" s="27">
        <f>U29</f>
        <v>56.766658706235901</v>
      </c>
      <c r="F114" s="27">
        <f>D63</f>
        <v>692.88684941371923</v>
      </c>
      <c r="G114" s="27">
        <f>M63</f>
        <v>-741.00441125288319</v>
      </c>
      <c r="H114" s="27">
        <f>U63</f>
        <v>56.766658706235901</v>
      </c>
      <c r="I114" s="27">
        <f>D93</f>
        <v>450.42604689911911</v>
      </c>
      <c r="J114" s="27">
        <f>M93</f>
        <v>-1466.9101014294738</v>
      </c>
      <c r="K114" s="27">
        <f>U93</f>
        <v>-191.21856479134104</v>
      </c>
      <c r="L114" s="17"/>
    </row>
    <row r="115" spans="2:12" ht="17.25" x14ac:dyDescent="0.25">
      <c r="B115" s="24" t="s">
        <v>91</v>
      </c>
      <c r="C115" s="25">
        <v>0.36</v>
      </c>
      <c r="D115" s="25">
        <v>0.6</v>
      </c>
      <c r="E115" s="25">
        <v>0.15</v>
      </c>
      <c r="F115" s="25">
        <v>0.71</v>
      </c>
      <c r="G115" s="26">
        <v>5.0000000000000002E-5</v>
      </c>
      <c r="H115" s="25">
        <v>0.15</v>
      </c>
      <c r="I115" s="25">
        <v>0.1</v>
      </c>
      <c r="J115" s="25">
        <v>0.04</v>
      </c>
      <c r="K115" s="25">
        <v>0.06</v>
      </c>
    </row>
  </sheetData>
  <mergeCells count="17">
    <mergeCell ref="B98:K98"/>
    <mergeCell ref="C100:E100"/>
    <mergeCell ref="F100:H100"/>
    <mergeCell ref="I100:K100"/>
    <mergeCell ref="A1:J1"/>
    <mergeCell ref="B2:D2"/>
    <mergeCell ref="E2:G2"/>
    <mergeCell ref="H2:J2"/>
    <mergeCell ref="A15:F15"/>
    <mergeCell ref="J15:O15"/>
    <mergeCell ref="R15:W15"/>
    <mergeCell ref="A49:F49"/>
    <mergeCell ref="J49:O49"/>
    <mergeCell ref="R49:W49"/>
    <mergeCell ref="A79:F79"/>
    <mergeCell ref="J79:O79"/>
    <mergeCell ref="R79:W7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topLeftCell="A73" workbookViewId="0">
      <selection activeCell="F31" sqref="F31"/>
    </sheetView>
  </sheetViews>
  <sheetFormatPr defaultRowHeight="15" x14ac:dyDescent="0.25"/>
  <cols>
    <col min="1" max="1" width="10.7109375" bestFit="1" customWidth="1"/>
    <col min="2" max="2" width="13.140625" bestFit="1" customWidth="1"/>
    <col min="3" max="3" width="12.5703125" bestFit="1" customWidth="1"/>
    <col min="4" max="4" width="12.28515625" bestFit="1" customWidth="1"/>
    <col min="5" max="5" width="13.140625" bestFit="1" customWidth="1"/>
    <col min="6" max="6" width="12.5703125" bestFit="1" customWidth="1"/>
    <col min="7" max="7" width="12.28515625" bestFit="1" customWidth="1"/>
    <col min="8" max="8" width="13.140625" bestFit="1" customWidth="1"/>
    <col min="9" max="9" width="12.5703125" bestFit="1" customWidth="1"/>
    <col min="10" max="10" width="12.28515625" bestFit="1" customWidth="1"/>
    <col min="12" max="12" width="12.7109375" bestFit="1" customWidth="1"/>
    <col min="13" max="13" width="11.7109375" customWidth="1"/>
  </cols>
  <sheetData>
    <row r="1" spans="1:22" x14ac:dyDescent="0.25">
      <c r="A1" s="28" t="str">
        <f>'[1]Iron Graphs'!A34</f>
        <v>Iron (mg/l)</v>
      </c>
      <c r="B1" s="28"/>
      <c r="C1" s="28"/>
      <c r="D1" s="28"/>
      <c r="E1" s="28"/>
      <c r="F1" s="28"/>
      <c r="G1" s="28"/>
      <c r="H1" s="28"/>
      <c r="I1" s="28"/>
      <c r="J1" s="28"/>
    </row>
    <row r="2" spans="1:22" x14ac:dyDescent="0.25">
      <c r="A2" s="1" t="str">
        <f>'[1]Iron Graphs'!A35</f>
        <v>Time (min)</v>
      </c>
      <c r="B2" s="28">
        <f>'[1]Iron Graphs'!B35</f>
        <v>6.5</v>
      </c>
      <c r="C2" s="28"/>
      <c r="D2" s="28"/>
      <c r="E2" s="28">
        <f>'[1]Iron Graphs'!E35</f>
        <v>7.5</v>
      </c>
      <c r="F2" s="28"/>
      <c r="G2" s="28"/>
      <c r="H2" s="28">
        <f>'[1]Iron Graphs'!H35</f>
        <v>8.5</v>
      </c>
      <c r="I2" s="28"/>
      <c r="J2" s="28"/>
    </row>
    <row r="3" spans="1:22" x14ac:dyDescent="0.25">
      <c r="A3" s="1"/>
      <c r="B3" s="1" t="str">
        <f>'[1]Iron Graphs'!B36</f>
        <v>0,174 (l/min)</v>
      </c>
      <c r="C3" s="1" t="str">
        <f>'[1]Iron Graphs'!C36</f>
        <v>0,262 (l/min)</v>
      </c>
      <c r="D3" s="1" t="str">
        <f>'[1]Iron Graphs'!D36</f>
        <v>0,523 (l/min)</v>
      </c>
      <c r="E3" s="1" t="str">
        <f>'[1]Iron Graphs'!E36</f>
        <v>0,174 (l/min)</v>
      </c>
      <c r="F3" s="1" t="str">
        <f>'[1]Iron Graphs'!F36</f>
        <v>0,262 (l/min)</v>
      </c>
      <c r="G3" s="1" t="str">
        <f>'[1]Iron Graphs'!G36</f>
        <v>0,523 (l/min)</v>
      </c>
      <c r="H3" s="1" t="str">
        <f>'[1]Iron Graphs'!H36</f>
        <v>0,174 (l/min)</v>
      </c>
      <c r="I3" s="1" t="str">
        <f>'[1]Iron Graphs'!I36</f>
        <v>0,262 (l/min)</v>
      </c>
      <c r="J3" s="1" t="str">
        <f>'[1]Iron Graphs'!J36</f>
        <v>0,523 (l/min)</v>
      </c>
    </row>
    <row r="4" spans="1:22" x14ac:dyDescent="0.25">
      <c r="B4" s="6" t="str">
        <f>'[1]Iron Graphs'!B37</f>
        <v>1,67 (ml/min)</v>
      </c>
      <c r="C4" s="6" t="str">
        <f>'[1]Iron Graphs'!C37</f>
        <v>2,52(ml/min)</v>
      </c>
      <c r="D4" s="6" t="str">
        <f>'[1]Iron Graphs'!D37</f>
        <v>5,0 (ml/min)</v>
      </c>
      <c r="E4" s="6" t="str">
        <f>'[1]Iron Graphs'!E37</f>
        <v>1,67 (ml/min)</v>
      </c>
      <c r="F4" s="6" t="str">
        <f>'[1]Iron Graphs'!F37</f>
        <v>2,52(ml/min)</v>
      </c>
      <c r="G4" s="6" t="str">
        <f>'[1]Iron Graphs'!G37</f>
        <v>5,0 (ml/min)</v>
      </c>
      <c r="H4" s="6" t="str">
        <f>'[1]Iron Graphs'!H37</f>
        <v>1,67 (ml/min)</v>
      </c>
      <c r="I4" s="6" t="str">
        <f>'[1]Iron Graphs'!I37</f>
        <v>2,52(ml/min)</v>
      </c>
      <c r="J4" s="6" t="str">
        <f>'[1]Iron Graphs'!J37</f>
        <v>5,0 (ml/min)</v>
      </c>
    </row>
    <row r="5" spans="1:22" x14ac:dyDescent="0.25">
      <c r="A5">
        <v>0</v>
      </c>
      <c r="B5" s="2">
        <v>0</v>
      </c>
      <c r="C5" s="2"/>
      <c r="D5" s="2"/>
      <c r="E5" s="2"/>
      <c r="F5" s="2"/>
      <c r="G5" s="2"/>
      <c r="H5" s="2"/>
      <c r="I5" s="2"/>
      <c r="J5" s="2"/>
    </row>
    <row r="6" spans="1:22" x14ac:dyDescent="0.25">
      <c r="A6">
        <f>'[1]Iron Graphs'!A38</f>
        <v>10</v>
      </c>
      <c r="B6" s="2">
        <f>'[1]Iron Graphs'!B38</f>
        <v>2.5</v>
      </c>
      <c r="C6" s="2">
        <f>'[1]Iron Graphs'!C38</f>
        <v>2.8</v>
      </c>
      <c r="D6" s="2">
        <f>'[1]Iron Graphs'!D38</f>
        <v>2.2000000000000002</v>
      </c>
      <c r="E6" s="2">
        <f>'[1]Iron Graphs'!E38</f>
        <v>1.6</v>
      </c>
      <c r="F6" s="2">
        <f>'[1]Iron Graphs'!F38</f>
        <v>1.63</v>
      </c>
      <c r="G6" s="2">
        <f>'[1]Iron Graphs'!G38</f>
        <v>1.6</v>
      </c>
      <c r="H6" s="2">
        <f>'[1]Iron Graphs'!H38</f>
        <v>1.8966666666666665</v>
      </c>
      <c r="I6" s="2">
        <f>'[1]Iron Graphs'!I38</f>
        <v>1.8</v>
      </c>
      <c r="J6" s="2">
        <f>'[1]Iron Graphs'!J38</f>
        <v>1.8466666666666667</v>
      </c>
    </row>
    <row r="7" spans="1:22" x14ac:dyDescent="0.25">
      <c r="A7">
        <f>'[1]Iron Graphs'!A39</f>
        <v>20</v>
      </c>
      <c r="B7" s="2">
        <f>'[1]Iron Graphs'!B39</f>
        <v>1.24</v>
      </c>
      <c r="C7" s="2">
        <f>'[1]Iron Graphs'!C39</f>
        <v>2.6</v>
      </c>
      <c r="D7" s="2">
        <f>'[1]Iron Graphs'!D39</f>
        <v>2.2000000000000002</v>
      </c>
      <c r="E7" s="2">
        <f>'[1]Iron Graphs'!E39</f>
        <v>1.1100000000000001</v>
      </c>
      <c r="F7" s="2">
        <f>'[1]Iron Graphs'!F39</f>
        <v>1.2</v>
      </c>
      <c r="G7" s="2">
        <f>'[1]Iron Graphs'!G39</f>
        <v>1.5</v>
      </c>
      <c r="H7" s="2">
        <f>'[1]Iron Graphs'!H39</f>
        <v>0.90666666666666673</v>
      </c>
      <c r="I7" s="2">
        <f>'[1]Iron Graphs'!I39</f>
        <v>1.2766666666666666</v>
      </c>
      <c r="J7" s="2">
        <f>'[1]Iron Graphs'!J39</f>
        <v>1.1399999999999999</v>
      </c>
    </row>
    <row r="8" spans="1:22" x14ac:dyDescent="0.25">
      <c r="A8">
        <f>'[1]Iron Graphs'!A40</f>
        <v>30</v>
      </c>
      <c r="B8" s="2">
        <f>'[1]Iron Graphs'!B40</f>
        <v>1.07</v>
      </c>
      <c r="C8" s="2">
        <f>'[1]Iron Graphs'!C40</f>
        <v>2.38</v>
      </c>
      <c r="D8" s="2">
        <f>'[1]Iron Graphs'!D40</f>
        <v>2.29</v>
      </c>
      <c r="E8" s="2">
        <f>'[1]Iron Graphs'!E40</f>
        <v>0.54</v>
      </c>
      <c r="F8" s="2">
        <f>'[1]Iron Graphs'!F40</f>
        <v>0.89</v>
      </c>
      <c r="G8" s="2">
        <f>'[1]Iron Graphs'!G40</f>
        <v>1.24</v>
      </c>
      <c r="H8" s="2">
        <f>'[1]Iron Graphs'!H40</f>
        <v>0.34999999999999992</v>
      </c>
      <c r="I8" s="2">
        <f>'[1]Iron Graphs'!I40</f>
        <v>0.93666666666666665</v>
      </c>
      <c r="J8" s="2">
        <f>'[1]Iron Graphs'!J40</f>
        <v>1.01</v>
      </c>
    </row>
    <row r="9" spans="1:22" x14ac:dyDescent="0.25">
      <c r="A9">
        <f>'[1]Iron Graphs'!A41</f>
        <v>40</v>
      </c>
      <c r="B9" s="2">
        <f>'[1]Iron Graphs'!B41</f>
        <v>1.1000000000000001</v>
      </c>
      <c r="C9" s="2">
        <f>'[1]Iron Graphs'!C41</f>
        <v>1.8</v>
      </c>
      <c r="D9" s="2">
        <f>'[1]Iron Graphs'!D41</f>
        <v>2.2000000000000002</v>
      </c>
      <c r="E9" s="2">
        <f>'[1]Iron Graphs'!E41</f>
        <v>0.44</v>
      </c>
      <c r="F9" s="2">
        <f>'[1]Iron Graphs'!F41</f>
        <v>0.9</v>
      </c>
      <c r="G9" s="2">
        <f>'[1]Iron Graphs'!G41</f>
        <v>1.2</v>
      </c>
      <c r="H9" s="2">
        <f>'[1]Iron Graphs'!H41</f>
        <v>0.19666666666666668</v>
      </c>
      <c r="I9" s="2">
        <f>'[1]Iron Graphs'!I41</f>
        <v>0.71333333333333326</v>
      </c>
      <c r="J9" s="2">
        <f>'[1]Iron Graphs'!J41</f>
        <v>0.65666666666666673</v>
      </c>
    </row>
    <row r="10" spans="1:22" x14ac:dyDescent="0.25">
      <c r="A10">
        <f>'[1]Iron Graphs'!A42</f>
        <v>50</v>
      </c>
      <c r="B10" s="2">
        <f>'[1]Iron Graphs'!B42</f>
        <v>1.1499999999999999</v>
      </c>
      <c r="C10" s="2">
        <f>'[1]Iron Graphs'!C42</f>
        <v>2</v>
      </c>
      <c r="D10" s="2">
        <f>'[1]Iron Graphs'!D42</f>
        <v>2.4</v>
      </c>
      <c r="E10" s="2">
        <f>'[1]Iron Graphs'!E42</f>
        <v>0.45</v>
      </c>
      <c r="F10" s="2">
        <f>'[1]Iron Graphs'!F42</f>
        <v>0.9</v>
      </c>
      <c r="G10" s="2">
        <f>'[1]Iron Graphs'!G42</f>
        <v>1.1000000000000001</v>
      </c>
      <c r="H10" s="2">
        <f>'[1]Iron Graphs'!H42</f>
        <v>0.18333333333333335</v>
      </c>
      <c r="I10" s="2">
        <f>'[1]Iron Graphs'!I42</f>
        <v>0.57999999999999996</v>
      </c>
      <c r="J10" s="2">
        <f>'[1]Iron Graphs'!J42</f>
        <v>0.58333333333333337</v>
      </c>
    </row>
    <row r="11" spans="1:22" x14ac:dyDescent="0.25">
      <c r="A11">
        <f>'[1]Iron Graphs'!A43</f>
        <v>60</v>
      </c>
      <c r="B11" s="2">
        <f>'[1]Iron Graphs'!B43</f>
        <v>1.3</v>
      </c>
      <c r="C11" s="2">
        <f>'[1]Iron Graphs'!C43</f>
        <v>1.71</v>
      </c>
      <c r="D11" s="2">
        <f>'[1]Iron Graphs'!D43</f>
        <v>2.56</v>
      </c>
      <c r="E11" s="2">
        <f>'[1]Iron Graphs'!E43</f>
        <v>0.42</v>
      </c>
      <c r="F11" s="2">
        <f>'[1]Iron Graphs'!F43</f>
        <v>0.89</v>
      </c>
      <c r="G11" s="2">
        <f>'[1]Iron Graphs'!G43</f>
        <v>1.1100000000000001</v>
      </c>
      <c r="H11" s="2">
        <f>'[1]Iron Graphs'!H43</f>
        <v>0.1466666666666667</v>
      </c>
      <c r="I11" s="2">
        <f>'[1]Iron Graphs'!I43</f>
        <v>0.54333333333333333</v>
      </c>
      <c r="J11" s="2">
        <f>'[1]Iron Graphs'!J43</f>
        <v>0.60666666666666658</v>
      </c>
    </row>
    <row r="14" spans="1:22" x14ac:dyDescent="0.25">
      <c r="A14" t="s">
        <v>21</v>
      </c>
      <c r="B14">
        <v>4501.7</v>
      </c>
      <c r="C14" t="s">
        <v>22</v>
      </c>
      <c r="Q14" t="s">
        <v>21</v>
      </c>
      <c r="R14">
        <v>4501.7</v>
      </c>
      <c r="S14" t="s">
        <v>22</v>
      </c>
    </row>
    <row r="15" spans="1:22" x14ac:dyDescent="0.25">
      <c r="A15" t="s">
        <v>23</v>
      </c>
      <c r="B15">
        <v>5.23</v>
      </c>
      <c r="C15" t="s">
        <v>24</v>
      </c>
      <c r="E15" s="1"/>
      <c r="I15" t="s">
        <v>21</v>
      </c>
      <c r="J15">
        <v>4501.7</v>
      </c>
      <c r="K15" t="s">
        <v>22</v>
      </c>
    </row>
    <row r="16" spans="1:22" x14ac:dyDescent="0.25">
      <c r="A16" s="28">
        <v>6.5</v>
      </c>
      <c r="B16" s="28"/>
      <c r="C16" s="28"/>
      <c r="D16" s="28"/>
      <c r="E16" s="28"/>
      <c r="F16" s="28"/>
      <c r="I16" s="28">
        <v>6.5</v>
      </c>
      <c r="J16" s="28"/>
      <c r="K16" s="28"/>
      <c r="L16" s="28"/>
      <c r="M16" s="28"/>
      <c r="N16" s="28"/>
      <c r="Q16" s="28">
        <v>6.5</v>
      </c>
      <c r="R16" s="28"/>
      <c r="S16" s="28"/>
      <c r="T16" s="28"/>
      <c r="U16" s="28"/>
      <c r="V16" s="28"/>
    </row>
    <row r="17" spans="1:22" x14ac:dyDescent="0.25">
      <c r="A17" t="s">
        <v>37</v>
      </c>
      <c r="B17">
        <v>0.17399999999999999</v>
      </c>
      <c r="C17" s="7" t="s">
        <v>25</v>
      </c>
      <c r="E17" s="2"/>
      <c r="I17" t="s">
        <v>37</v>
      </c>
      <c r="J17">
        <v>0.26200000000000001</v>
      </c>
      <c r="K17" s="1" t="s">
        <v>27</v>
      </c>
      <c r="M17" s="2"/>
      <c r="Q17" t="s">
        <v>37</v>
      </c>
      <c r="R17">
        <v>0.52300000000000002</v>
      </c>
      <c r="S17" s="7" t="s">
        <v>29</v>
      </c>
      <c r="U17" s="2"/>
    </row>
    <row r="18" spans="1:22" x14ac:dyDescent="0.25">
      <c r="C18" s="7" t="s">
        <v>26</v>
      </c>
      <c r="E18" s="2"/>
      <c r="K18" s="6" t="s">
        <v>28</v>
      </c>
      <c r="M18" s="2"/>
      <c r="S18" s="7" t="s">
        <v>30</v>
      </c>
      <c r="U18" s="2"/>
    </row>
    <row r="19" spans="1:22" x14ac:dyDescent="0.25">
      <c r="D19" t="s">
        <v>4</v>
      </c>
      <c r="E19" t="s">
        <v>5</v>
      </c>
      <c r="L19" t="s">
        <v>4</v>
      </c>
      <c r="M19" t="s">
        <v>5</v>
      </c>
      <c r="T19" t="s">
        <v>4</v>
      </c>
      <c r="U19" t="s">
        <v>5</v>
      </c>
    </row>
    <row r="20" spans="1:22" ht="18" x14ac:dyDescent="0.35">
      <c r="A20" t="s">
        <v>0</v>
      </c>
      <c r="B20" t="s">
        <v>1</v>
      </c>
      <c r="C20" t="s">
        <v>2</v>
      </c>
      <c r="D20" t="s">
        <v>31</v>
      </c>
      <c r="E20" t="s">
        <v>31</v>
      </c>
      <c r="F20" t="s">
        <v>32</v>
      </c>
      <c r="I20" t="s">
        <v>0</v>
      </c>
      <c r="J20" t="s">
        <v>1</v>
      </c>
      <c r="K20" t="s">
        <v>2</v>
      </c>
      <c r="L20" t="s">
        <v>31</v>
      </c>
      <c r="M20" t="s">
        <v>31</v>
      </c>
      <c r="N20" t="s">
        <v>32</v>
      </c>
      <c r="Q20" t="s">
        <v>0</v>
      </c>
      <c r="R20" t="s">
        <v>1</v>
      </c>
      <c r="S20" t="s">
        <v>2</v>
      </c>
      <c r="T20" t="s">
        <v>31</v>
      </c>
      <c r="U20" t="s">
        <v>31</v>
      </c>
      <c r="V20" t="s">
        <v>32</v>
      </c>
    </row>
    <row r="21" spans="1:22" ht="18" x14ac:dyDescent="0.35">
      <c r="A21">
        <v>10</v>
      </c>
      <c r="B21">
        <v>2.1</v>
      </c>
      <c r="C21" s="3">
        <f>B6</f>
        <v>2.5</v>
      </c>
      <c r="D21" t="e">
        <f>LN((B21/C21)-1)</f>
        <v>#NUM!</v>
      </c>
      <c r="E21" t="e">
        <f>(($C$29*A21)-($C$29*$D$29))</f>
        <v>#VALUE!</v>
      </c>
      <c r="F21" t="s">
        <v>33</v>
      </c>
      <c r="I21">
        <v>10</v>
      </c>
      <c r="J21">
        <v>2.1</v>
      </c>
      <c r="K21" s="3">
        <f>C6</f>
        <v>2.8</v>
      </c>
      <c r="L21" t="e">
        <f>LN((J21/K21)-1)</f>
        <v>#NUM!</v>
      </c>
      <c r="M21" t="e">
        <f>(($C$29*I21)-($C$29*$D$29))</f>
        <v>#VALUE!</v>
      </c>
      <c r="N21" t="s">
        <v>33</v>
      </c>
      <c r="Q21">
        <v>10</v>
      </c>
      <c r="R21">
        <v>2.1</v>
      </c>
      <c r="S21" s="3">
        <f>D6</f>
        <v>2.2000000000000002</v>
      </c>
      <c r="T21" t="e">
        <f>LN((R21/S21)-1)</f>
        <v>#NUM!</v>
      </c>
      <c r="U21" t="e">
        <f>(($C$29*Q21)-($C$29*$D$29))</f>
        <v>#VALUE!</v>
      </c>
      <c r="V21" t="s">
        <v>33</v>
      </c>
    </row>
    <row r="22" spans="1:22" ht="18" x14ac:dyDescent="0.35">
      <c r="A22">
        <v>20</v>
      </c>
      <c r="B22">
        <v>2.1</v>
      </c>
      <c r="C22" s="3">
        <f t="shared" ref="C22:C26" si="0">B7</f>
        <v>1.24</v>
      </c>
      <c r="D22">
        <f>LN((B22/C22)-1)</f>
        <v>-0.36593426935152906</v>
      </c>
      <c r="E22" t="e">
        <f t="shared" ref="E22:E26" si="1">(($C$29*A22)-($C$29*$D$29))</f>
        <v>#VALUE!</v>
      </c>
      <c r="F22" s="4" t="s">
        <v>34</v>
      </c>
      <c r="I22">
        <v>20</v>
      </c>
      <c r="J22">
        <v>2.1</v>
      </c>
      <c r="K22" s="3">
        <f t="shared" ref="K22:K26" si="2">C7</f>
        <v>2.6</v>
      </c>
      <c r="L22" t="e">
        <f>LN((J22/K22)-1)</f>
        <v>#NUM!</v>
      </c>
      <c r="M22" t="e">
        <f t="shared" ref="M22:M26" si="3">(($C$29*I22)-($C$29*$D$29))</f>
        <v>#VALUE!</v>
      </c>
      <c r="N22" s="4" t="s">
        <v>34</v>
      </c>
      <c r="Q22">
        <v>20</v>
      </c>
      <c r="R22">
        <v>2.1</v>
      </c>
      <c r="S22" s="3">
        <f t="shared" ref="S22:S26" si="4">D7</f>
        <v>2.2000000000000002</v>
      </c>
      <c r="T22" t="e">
        <f>LN((R22/S22)-1)</f>
        <v>#NUM!</v>
      </c>
      <c r="U22" t="e">
        <f t="shared" ref="U22:U26" si="5">(($C$29*Q22)-($C$29*$D$29))</f>
        <v>#VALUE!</v>
      </c>
      <c r="V22" s="4" t="s">
        <v>34</v>
      </c>
    </row>
    <row r="23" spans="1:22" x14ac:dyDescent="0.25">
      <c r="A23">
        <v>30</v>
      </c>
      <c r="B23">
        <v>2.1</v>
      </c>
      <c r="C23" s="3">
        <f t="shared" si="0"/>
        <v>1.07</v>
      </c>
      <c r="D23">
        <f t="shared" ref="D23:D26" si="6">LN((B23/C23)-1)</f>
        <v>-3.8099846232270404E-2</v>
      </c>
      <c r="E23" t="e">
        <f t="shared" si="1"/>
        <v>#VALUE!</v>
      </c>
      <c r="F23" s="4" t="s">
        <v>35</v>
      </c>
      <c r="I23">
        <v>30</v>
      </c>
      <c r="J23">
        <v>2.1</v>
      </c>
      <c r="K23" s="3">
        <f t="shared" si="2"/>
        <v>2.38</v>
      </c>
      <c r="L23" t="e">
        <f t="shared" ref="L23:L26" si="7">LN((J23/K23)-1)</f>
        <v>#NUM!</v>
      </c>
      <c r="M23" t="e">
        <f t="shared" si="3"/>
        <v>#VALUE!</v>
      </c>
      <c r="N23" s="4" t="s">
        <v>35</v>
      </c>
      <c r="Q23">
        <v>30</v>
      </c>
      <c r="R23">
        <v>2.1</v>
      </c>
      <c r="S23" s="3">
        <f t="shared" si="4"/>
        <v>2.29</v>
      </c>
      <c r="T23" t="e">
        <f t="shared" ref="T23:T26" si="8">LN((R23/S23)-1)</f>
        <v>#NUM!</v>
      </c>
      <c r="U23" t="e">
        <f t="shared" si="5"/>
        <v>#VALUE!</v>
      </c>
      <c r="V23" s="4" t="s">
        <v>35</v>
      </c>
    </row>
    <row r="24" spans="1:22" x14ac:dyDescent="0.25">
      <c r="A24">
        <v>40</v>
      </c>
      <c r="B24">
        <v>2.1</v>
      </c>
      <c r="C24" s="3">
        <f t="shared" si="0"/>
        <v>1.1000000000000001</v>
      </c>
      <c r="D24">
        <f t="shared" si="6"/>
        <v>-9.5310179804325018E-2</v>
      </c>
      <c r="E24" t="e">
        <f t="shared" si="1"/>
        <v>#VALUE!</v>
      </c>
      <c r="I24">
        <v>40</v>
      </c>
      <c r="J24">
        <v>2.1</v>
      </c>
      <c r="K24" s="3">
        <f t="shared" si="2"/>
        <v>1.8</v>
      </c>
      <c r="L24">
        <f t="shared" si="7"/>
        <v>-1.7917594692280545</v>
      </c>
      <c r="M24" t="e">
        <f t="shared" si="3"/>
        <v>#VALUE!</v>
      </c>
      <c r="Q24">
        <v>40</v>
      </c>
      <c r="R24">
        <v>2.1</v>
      </c>
      <c r="S24" s="3">
        <f t="shared" si="4"/>
        <v>2.2000000000000002</v>
      </c>
      <c r="T24" t="e">
        <f t="shared" si="8"/>
        <v>#NUM!</v>
      </c>
      <c r="U24" t="e">
        <f t="shared" si="5"/>
        <v>#VALUE!</v>
      </c>
    </row>
    <row r="25" spans="1:22" ht="18" x14ac:dyDescent="0.35">
      <c r="A25">
        <v>50</v>
      </c>
      <c r="B25">
        <v>2.1</v>
      </c>
      <c r="C25" s="3">
        <f t="shared" si="0"/>
        <v>1.1499999999999999</v>
      </c>
      <c r="D25">
        <f t="shared" si="6"/>
        <v>-0.19105523676270908</v>
      </c>
      <c r="E25" t="e">
        <f t="shared" si="1"/>
        <v>#VALUE!</v>
      </c>
      <c r="F25" t="s">
        <v>36</v>
      </c>
      <c r="I25">
        <v>50</v>
      </c>
      <c r="J25">
        <v>2.1</v>
      </c>
      <c r="K25" s="3">
        <f t="shared" si="2"/>
        <v>2</v>
      </c>
      <c r="L25">
        <f t="shared" si="7"/>
        <v>-2.99573227355399</v>
      </c>
      <c r="M25" t="e">
        <f t="shared" si="3"/>
        <v>#VALUE!</v>
      </c>
      <c r="N25" t="s">
        <v>36</v>
      </c>
      <c r="Q25">
        <v>50</v>
      </c>
      <c r="R25">
        <v>2.1</v>
      </c>
      <c r="S25" s="3">
        <f t="shared" si="4"/>
        <v>2.4</v>
      </c>
      <c r="T25" t="e">
        <f t="shared" si="8"/>
        <v>#NUM!</v>
      </c>
      <c r="U25" t="e">
        <f t="shared" si="5"/>
        <v>#VALUE!</v>
      </c>
      <c r="V25" t="s">
        <v>36</v>
      </c>
    </row>
    <row r="26" spans="1:22" x14ac:dyDescent="0.25">
      <c r="A26">
        <f>A11</f>
        <v>60</v>
      </c>
      <c r="B26">
        <v>2.1</v>
      </c>
      <c r="C26" s="3">
        <f t="shared" si="0"/>
        <v>1.3</v>
      </c>
      <c r="D26">
        <f t="shared" si="6"/>
        <v>-0.48550781578170077</v>
      </c>
      <c r="E26" t="e">
        <f t="shared" si="1"/>
        <v>#VALUE!</v>
      </c>
      <c r="I26">
        <f>I11</f>
        <v>0.54333333333333333</v>
      </c>
      <c r="J26">
        <v>2.1</v>
      </c>
      <c r="K26" s="3">
        <f t="shared" si="2"/>
        <v>1.71</v>
      </c>
      <c r="L26">
        <f t="shared" si="7"/>
        <v>-1.4781019103730133</v>
      </c>
      <c r="M26" t="e">
        <f t="shared" si="3"/>
        <v>#VALUE!</v>
      </c>
      <c r="Q26">
        <f>Q11</f>
        <v>0</v>
      </c>
      <c r="R26">
        <v>2.1</v>
      </c>
      <c r="S26" s="3">
        <f t="shared" si="4"/>
        <v>2.56</v>
      </c>
      <c r="T26" t="e">
        <f t="shared" si="8"/>
        <v>#NUM!</v>
      </c>
      <c r="U26" t="e">
        <f t="shared" si="5"/>
        <v>#VALUE!</v>
      </c>
    </row>
    <row r="29" spans="1:22" ht="18" x14ac:dyDescent="0.35">
      <c r="A29" t="s">
        <v>6</v>
      </c>
      <c r="B29" t="s">
        <v>7</v>
      </c>
      <c r="C29" t="s">
        <v>8</v>
      </c>
      <c r="D29" s="4" t="s">
        <v>38</v>
      </c>
      <c r="I29" t="s">
        <v>6</v>
      </c>
      <c r="J29" t="s">
        <v>7</v>
      </c>
      <c r="K29" t="s">
        <v>8</v>
      </c>
      <c r="L29" s="4" t="s">
        <v>38</v>
      </c>
      <c r="Q29" t="s">
        <v>6</v>
      </c>
      <c r="R29" t="s">
        <v>7</v>
      </c>
      <c r="S29" t="s">
        <v>8</v>
      </c>
      <c r="T29" s="4" t="s">
        <v>38</v>
      </c>
    </row>
    <row r="30" spans="1:22" x14ac:dyDescent="0.25">
      <c r="A30">
        <f>SLOPE(D22:D26,A22:A26)</f>
        <v>-3.9210248339078208E-3</v>
      </c>
      <c r="B30">
        <f>INTERCEPT(D22:D26,A22:A26)</f>
        <v>-7.834047623019405E-2</v>
      </c>
      <c r="C30">
        <f>A30/-B21</f>
        <v>1.867154682813248E-3</v>
      </c>
      <c r="D30">
        <f>((B30*B17)/(C30*B14))</f>
        <v>-1.6217302131781286E-3</v>
      </c>
      <c r="I30" t="e">
        <f>SLOPE(L22:L26,I22:I26)</f>
        <v>#NUM!</v>
      </c>
      <c r="J30" t="e">
        <f>INTERCEPT(L22:L26,I22:I26)</f>
        <v>#NUM!</v>
      </c>
      <c r="K30" t="e">
        <f>I30/-J21</f>
        <v>#NUM!</v>
      </c>
      <c r="L30" t="e">
        <f>((J30*J17)/(K30*J14))</f>
        <v>#NUM!</v>
      </c>
      <c r="Q30" t="e">
        <f>SLOPE(T22:T26,Q22:Q26)</f>
        <v>#NUM!</v>
      </c>
      <c r="R30" t="e">
        <f>INTERCEPT(T22:T26,Q22:Q26)</f>
        <v>#NUM!</v>
      </c>
      <c r="S30" t="e">
        <f>Q30/-R21</f>
        <v>#NUM!</v>
      </c>
      <c r="T30" t="e">
        <f>((R30*R17)/(S30*R14))</f>
        <v>#NUM!</v>
      </c>
    </row>
    <row r="42" spans="1:22" x14ac:dyDescent="0.25">
      <c r="A42" t="s">
        <v>21</v>
      </c>
      <c r="B42">
        <v>4501.7</v>
      </c>
      <c r="C42" t="s">
        <v>22</v>
      </c>
      <c r="I42" t="s">
        <v>21</v>
      </c>
      <c r="J42">
        <v>4501.7</v>
      </c>
      <c r="K42" t="s">
        <v>22</v>
      </c>
      <c r="Q42" t="s">
        <v>21</v>
      </c>
      <c r="R42">
        <v>4501.7</v>
      </c>
      <c r="S42" t="s">
        <v>22</v>
      </c>
    </row>
    <row r="44" spans="1:22" x14ac:dyDescent="0.25">
      <c r="A44" s="28">
        <v>7.5</v>
      </c>
      <c r="B44" s="28"/>
      <c r="C44" s="28"/>
      <c r="D44" s="28"/>
      <c r="E44" s="28"/>
      <c r="F44" s="28"/>
      <c r="I44" s="28">
        <v>7.5</v>
      </c>
      <c r="J44" s="28"/>
      <c r="K44" s="28"/>
      <c r="L44" s="28"/>
      <c r="M44" s="28"/>
      <c r="N44" s="28"/>
      <c r="Q44" s="28">
        <v>7.5</v>
      </c>
      <c r="R44" s="28"/>
      <c r="S44" s="28"/>
      <c r="T44" s="28"/>
      <c r="U44" s="28"/>
      <c r="V44" s="28"/>
    </row>
    <row r="45" spans="1:22" x14ac:dyDescent="0.25">
      <c r="A45" t="s">
        <v>37</v>
      </c>
      <c r="B45">
        <v>0.17399999999999999</v>
      </c>
      <c r="C45" s="7" t="s">
        <v>25</v>
      </c>
      <c r="E45" s="2"/>
      <c r="I45" t="s">
        <v>37</v>
      </c>
      <c r="J45">
        <v>0.26200000000000001</v>
      </c>
      <c r="K45" s="7" t="s">
        <v>27</v>
      </c>
      <c r="M45" s="2"/>
      <c r="Q45" t="s">
        <v>37</v>
      </c>
      <c r="R45">
        <v>0.52300000000000002</v>
      </c>
      <c r="S45" s="7" t="s">
        <v>29</v>
      </c>
      <c r="U45" s="2"/>
    </row>
    <row r="46" spans="1:22" x14ac:dyDescent="0.25">
      <c r="C46" s="7" t="s">
        <v>26</v>
      </c>
      <c r="E46" s="2"/>
      <c r="K46" s="7" t="s">
        <v>28</v>
      </c>
      <c r="M46" s="2"/>
      <c r="S46" s="7" t="s">
        <v>30</v>
      </c>
      <c r="U46" s="2"/>
    </row>
    <row r="47" spans="1:22" x14ac:dyDescent="0.25">
      <c r="D47" t="s">
        <v>4</v>
      </c>
      <c r="E47" t="s">
        <v>5</v>
      </c>
      <c r="L47" t="s">
        <v>4</v>
      </c>
      <c r="M47" t="s">
        <v>5</v>
      </c>
      <c r="T47" t="s">
        <v>4</v>
      </c>
      <c r="U47" t="s">
        <v>5</v>
      </c>
    </row>
    <row r="48" spans="1:22" ht="18" x14ac:dyDescent="0.35">
      <c r="A48" t="s">
        <v>0</v>
      </c>
      <c r="B48" t="s">
        <v>1</v>
      </c>
      <c r="C48" t="s">
        <v>2</v>
      </c>
      <c r="D48" t="s">
        <v>31</v>
      </c>
      <c r="E48" t="s">
        <v>31</v>
      </c>
      <c r="F48" t="s">
        <v>32</v>
      </c>
      <c r="I48" t="s">
        <v>0</v>
      </c>
      <c r="J48" t="s">
        <v>1</v>
      </c>
      <c r="K48" t="s">
        <v>2</v>
      </c>
      <c r="L48" t="s">
        <v>31</v>
      </c>
      <c r="M48" t="s">
        <v>31</v>
      </c>
      <c r="N48" t="s">
        <v>32</v>
      </c>
      <c r="Q48" t="s">
        <v>0</v>
      </c>
      <c r="R48" t="s">
        <v>1</v>
      </c>
      <c r="S48" t="s">
        <v>2</v>
      </c>
      <c r="T48" t="s">
        <v>31</v>
      </c>
      <c r="U48" t="s">
        <v>31</v>
      </c>
      <c r="V48" t="s">
        <v>32</v>
      </c>
    </row>
    <row r="49" spans="1:22" ht="18" x14ac:dyDescent="0.35">
      <c r="A49">
        <v>10</v>
      </c>
      <c r="B49">
        <v>2.1</v>
      </c>
      <c r="C49" s="3">
        <f>E6</f>
        <v>1.6</v>
      </c>
      <c r="D49">
        <f>LN((B49/C49)-1)</f>
        <v>-1.1631508098056809</v>
      </c>
      <c r="E49" t="e">
        <f>(($C$29*A49)-($C$29*$D$29))</f>
        <v>#VALUE!</v>
      </c>
      <c r="F49" t="s">
        <v>33</v>
      </c>
      <c r="I49">
        <v>10</v>
      </c>
      <c r="J49">
        <v>2.1</v>
      </c>
      <c r="K49" s="3">
        <f>F6</f>
        <v>1.63</v>
      </c>
      <c r="L49">
        <f>LN((J49/K49)-1)</f>
        <v>-1.2436025990967035</v>
      </c>
      <c r="M49" t="e">
        <f>(($C$29*I49)-($C$29*$D$29))</f>
        <v>#VALUE!</v>
      </c>
      <c r="N49" t="s">
        <v>33</v>
      </c>
      <c r="Q49">
        <v>10</v>
      </c>
      <c r="R49">
        <v>2.1</v>
      </c>
      <c r="S49" s="3">
        <f>G6</f>
        <v>1.6</v>
      </c>
      <c r="T49">
        <f>LN((R49/S49)-1)</f>
        <v>-1.1631508098056809</v>
      </c>
      <c r="U49" t="e">
        <f>(($C$29*Q49)-($C$29*$D$29))</f>
        <v>#VALUE!</v>
      </c>
      <c r="V49" t="s">
        <v>33</v>
      </c>
    </row>
    <row r="50" spans="1:22" ht="18" x14ac:dyDescent="0.35">
      <c r="A50">
        <v>20</v>
      </c>
      <c r="B50">
        <v>2.1</v>
      </c>
      <c r="C50" s="3">
        <f t="shared" ref="C50:C54" si="9">E7</f>
        <v>1.1100000000000001</v>
      </c>
      <c r="D50">
        <f>LN((B50/C50)-1)</f>
        <v>-0.11441035117774422</v>
      </c>
      <c r="E50" t="e">
        <f t="shared" ref="E50:E54" si="10">(($C$29*A50)-($C$29*$D$29))</f>
        <v>#VALUE!</v>
      </c>
      <c r="F50" s="4" t="s">
        <v>34</v>
      </c>
      <c r="I50">
        <v>20</v>
      </c>
      <c r="J50">
        <v>2.1</v>
      </c>
      <c r="K50" s="3">
        <f t="shared" ref="K50:K54" si="11">F7</f>
        <v>1.2</v>
      </c>
      <c r="L50">
        <f>LN((J50/K50)-1)</f>
        <v>-0.28768207245178062</v>
      </c>
      <c r="M50" t="e">
        <f t="shared" ref="M50:M54" si="12">(($C$29*I50)-($C$29*$D$29))</f>
        <v>#VALUE!</v>
      </c>
      <c r="N50" s="4" t="s">
        <v>34</v>
      </c>
      <c r="Q50">
        <v>20</v>
      </c>
      <c r="R50">
        <v>2.1</v>
      </c>
      <c r="S50" s="3">
        <f t="shared" ref="S50:S54" si="13">G7</f>
        <v>1.5</v>
      </c>
      <c r="T50">
        <f>LN((R50/S50)-1)</f>
        <v>-0.91629073187415477</v>
      </c>
      <c r="U50" t="e">
        <f t="shared" ref="U50:U54" si="14">(($C$29*Q50)-($C$29*$D$29))</f>
        <v>#VALUE!</v>
      </c>
      <c r="V50" s="4" t="s">
        <v>34</v>
      </c>
    </row>
    <row r="51" spans="1:22" x14ac:dyDescent="0.25">
      <c r="A51">
        <v>30</v>
      </c>
      <c r="B51">
        <v>2.1</v>
      </c>
      <c r="C51" s="3">
        <f t="shared" si="9"/>
        <v>0.54</v>
      </c>
      <c r="D51">
        <f t="shared" ref="D51:D54" si="15">LN((B51/C51)-1)</f>
        <v>1.0608719606852626</v>
      </c>
      <c r="E51" t="e">
        <f t="shared" si="10"/>
        <v>#VALUE!</v>
      </c>
      <c r="F51" s="4" t="s">
        <v>35</v>
      </c>
      <c r="I51">
        <v>30</v>
      </c>
      <c r="J51">
        <v>2.1</v>
      </c>
      <c r="K51" s="3">
        <f t="shared" si="11"/>
        <v>0.89</v>
      </c>
      <c r="L51">
        <f t="shared" ref="L51:L54" si="16">LN((J51/K51)-1)</f>
        <v>0.30715417586460125</v>
      </c>
      <c r="M51" t="e">
        <f t="shared" si="12"/>
        <v>#VALUE!</v>
      </c>
      <c r="N51" s="4" t="s">
        <v>35</v>
      </c>
      <c r="Q51">
        <v>30</v>
      </c>
      <c r="R51">
        <v>2.1</v>
      </c>
      <c r="S51" s="3">
        <f t="shared" si="13"/>
        <v>1.24</v>
      </c>
      <c r="T51">
        <f t="shared" ref="T51:T54" si="17">LN((R51/S51)-1)</f>
        <v>-0.36593426935152906</v>
      </c>
      <c r="U51" t="e">
        <f t="shared" si="14"/>
        <v>#VALUE!</v>
      </c>
      <c r="V51" s="4" t="s">
        <v>35</v>
      </c>
    </row>
    <row r="52" spans="1:22" x14ac:dyDescent="0.25">
      <c r="A52">
        <v>40</v>
      </c>
      <c r="B52">
        <v>2.1</v>
      </c>
      <c r="C52" s="3">
        <f t="shared" si="9"/>
        <v>0.44</v>
      </c>
      <c r="D52">
        <f t="shared" si="15"/>
        <v>1.327798154438282</v>
      </c>
      <c r="E52" t="e">
        <f t="shared" si="10"/>
        <v>#VALUE!</v>
      </c>
      <c r="I52">
        <v>40</v>
      </c>
      <c r="J52">
        <v>2.1</v>
      </c>
      <c r="K52" s="3">
        <f t="shared" si="11"/>
        <v>0.9</v>
      </c>
      <c r="L52">
        <f t="shared" si="16"/>
        <v>0.28768207245178101</v>
      </c>
      <c r="M52" t="e">
        <f t="shared" si="12"/>
        <v>#VALUE!</v>
      </c>
      <c r="Q52">
        <v>40</v>
      </c>
      <c r="R52">
        <v>2.1</v>
      </c>
      <c r="S52" s="3">
        <f t="shared" si="13"/>
        <v>1.2</v>
      </c>
      <c r="T52">
        <f t="shared" si="17"/>
        <v>-0.28768207245178062</v>
      </c>
      <c r="U52" t="e">
        <f t="shared" si="14"/>
        <v>#VALUE!</v>
      </c>
    </row>
    <row r="53" spans="1:22" ht="18" x14ac:dyDescent="0.35">
      <c r="A53">
        <v>50</v>
      </c>
      <c r="B53">
        <v>2.1</v>
      </c>
      <c r="C53" s="3">
        <f t="shared" si="9"/>
        <v>0.45</v>
      </c>
      <c r="D53">
        <f t="shared" si="15"/>
        <v>1.2992829841302609</v>
      </c>
      <c r="E53" t="e">
        <f t="shared" si="10"/>
        <v>#VALUE!</v>
      </c>
      <c r="F53" t="s">
        <v>36</v>
      </c>
      <c r="I53">
        <v>50</v>
      </c>
      <c r="J53">
        <v>2.1</v>
      </c>
      <c r="K53" s="3">
        <f t="shared" si="11"/>
        <v>0.9</v>
      </c>
      <c r="L53">
        <f t="shared" si="16"/>
        <v>0.28768207245178101</v>
      </c>
      <c r="M53" t="e">
        <f t="shared" si="12"/>
        <v>#VALUE!</v>
      </c>
      <c r="N53" t="s">
        <v>36</v>
      </c>
      <c r="Q53">
        <v>50</v>
      </c>
      <c r="R53">
        <v>2.1</v>
      </c>
      <c r="S53" s="3">
        <f t="shared" si="13"/>
        <v>1.1000000000000001</v>
      </c>
      <c r="T53">
        <f t="shared" si="17"/>
        <v>-9.5310179804325018E-2</v>
      </c>
      <c r="U53" t="e">
        <f t="shared" si="14"/>
        <v>#VALUE!</v>
      </c>
      <c r="V53" t="s">
        <v>36</v>
      </c>
    </row>
    <row r="54" spans="1:22" x14ac:dyDescent="0.25">
      <c r="A54">
        <f>A39</f>
        <v>0</v>
      </c>
      <c r="B54">
        <v>2.1</v>
      </c>
      <c r="C54" s="3">
        <f t="shared" si="9"/>
        <v>0.42</v>
      </c>
      <c r="D54">
        <f t="shared" si="15"/>
        <v>1.3862943611198906</v>
      </c>
      <c r="E54" t="e">
        <f t="shared" si="10"/>
        <v>#VALUE!</v>
      </c>
      <c r="I54">
        <f>I39</f>
        <v>0</v>
      </c>
      <c r="J54">
        <v>2.1</v>
      </c>
      <c r="K54" s="3">
        <f t="shared" si="11"/>
        <v>0.89</v>
      </c>
      <c r="L54">
        <f t="shared" si="16"/>
        <v>0.30715417586460125</v>
      </c>
      <c r="M54" t="e">
        <f t="shared" si="12"/>
        <v>#VALUE!</v>
      </c>
      <c r="Q54">
        <f>Q39</f>
        <v>0</v>
      </c>
      <c r="R54">
        <v>2.1</v>
      </c>
      <c r="S54" s="3">
        <f t="shared" si="13"/>
        <v>1.1100000000000001</v>
      </c>
      <c r="T54">
        <f t="shared" si="17"/>
        <v>-0.11441035117774422</v>
      </c>
      <c r="U54" t="e">
        <f t="shared" si="14"/>
        <v>#VALUE!</v>
      </c>
    </row>
    <row r="57" spans="1:22" ht="18" x14ac:dyDescent="0.35">
      <c r="A57" t="s">
        <v>6</v>
      </c>
      <c r="B57" t="s">
        <v>7</v>
      </c>
      <c r="C57" t="s">
        <v>8</v>
      </c>
      <c r="D57" s="4" t="s">
        <v>38</v>
      </c>
      <c r="I57" t="s">
        <v>6</v>
      </c>
      <c r="J57" t="s">
        <v>7</v>
      </c>
      <c r="K57" t="s">
        <v>8</v>
      </c>
      <c r="L57" s="4" t="s">
        <v>38</v>
      </c>
      <c r="Q57" t="s">
        <v>6</v>
      </c>
      <c r="R57" t="s">
        <v>7</v>
      </c>
      <c r="S57" t="s">
        <v>8</v>
      </c>
      <c r="T57" s="4" t="s">
        <v>38</v>
      </c>
    </row>
    <row r="58" spans="1:22" x14ac:dyDescent="0.25">
      <c r="A58">
        <f>SLOPE(D50:D54,A50:A54)</f>
        <v>5.9044514348382876E-3</v>
      </c>
      <c r="B58">
        <f>INTERCEPT(D50:D54,A50:A54)</f>
        <v>0.8266427816637183</v>
      </c>
      <c r="C58">
        <f>A58/-B49</f>
        <v>-2.8116435403991846E-3</v>
      </c>
      <c r="D58">
        <f>((B58*B45)/(C58*B42))</f>
        <v>-1.1363976223868477E-2</v>
      </c>
      <c r="I58">
        <f>SLOPE(L50:L54,I50:I54)</f>
        <v>2.7679989665507884E-3</v>
      </c>
      <c r="J58">
        <f>INTERCEPT(L50:L54,I50:I54)</f>
        <v>0.10289411377277471</v>
      </c>
      <c r="K58">
        <f>I58/-J49</f>
        <v>-1.3180947459765658E-3</v>
      </c>
      <c r="L58">
        <f>((J58*J45)/(K58*J42))</f>
        <v>-4.5432710114218467E-3</v>
      </c>
      <c r="Q58">
        <f>SLOPE(T50:T54,Q50:Q54)</f>
        <v>2.8736069757773651E-3</v>
      </c>
      <c r="R58">
        <f>INTERCEPT(T50:T54,Q50:Q54)</f>
        <v>-0.43638651625367292</v>
      </c>
      <c r="S58">
        <f>Q58/-R49</f>
        <v>-1.3683842741796977E-3</v>
      </c>
      <c r="T58">
        <f>((R58*R45)/(S58*R42))</f>
        <v>3.7050014968136549E-2</v>
      </c>
    </row>
    <row r="71" spans="1:22" x14ac:dyDescent="0.25">
      <c r="A71" t="s">
        <v>21</v>
      </c>
      <c r="B71">
        <v>4501.7</v>
      </c>
      <c r="C71" t="s">
        <v>22</v>
      </c>
      <c r="I71" t="s">
        <v>21</v>
      </c>
      <c r="J71">
        <v>4501.7</v>
      </c>
      <c r="K71" t="s">
        <v>22</v>
      </c>
      <c r="Q71" t="s">
        <v>21</v>
      </c>
      <c r="R71">
        <v>4501.7</v>
      </c>
      <c r="S71" t="s">
        <v>22</v>
      </c>
    </row>
    <row r="73" spans="1:22" x14ac:dyDescent="0.25">
      <c r="A73" s="28">
        <v>8.5</v>
      </c>
      <c r="B73" s="28"/>
      <c r="C73" s="28"/>
      <c r="D73" s="28"/>
      <c r="E73" s="28"/>
      <c r="F73" s="28"/>
      <c r="I73" s="28">
        <v>8.5</v>
      </c>
      <c r="J73" s="28"/>
      <c r="K73" s="28"/>
      <c r="L73" s="28"/>
      <c r="M73" s="28"/>
      <c r="N73" s="28"/>
      <c r="Q73" s="28">
        <v>8.5</v>
      </c>
      <c r="R73" s="28"/>
      <c r="S73" s="28"/>
      <c r="T73" s="28"/>
      <c r="U73" s="28"/>
      <c r="V73" s="28"/>
    </row>
    <row r="74" spans="1:22" x14ac:dyDescent="0.25">
      <c r="A74" t="s">
        <v>37</v>
      </c>
      <c r="B74">
        <v>0.17399999999999999</v>
      </c>
      <c r="C74" s="7" t="s">
        <v>25</v>
      </c>
      <c r="E74" s="2"/>
      <c r="I74" t="s">
        <v>37</v>
      </c>
      <c r="J74">
        <v>0.26200000000000001</v>
      </c>
      <c r="K74" s="7" t="s">
        <v>27</v>
      </c>
      <c r="M74" s="2"/>
      <c r="Q74" t="s">
        <v>37</v>
      </c>
      <c r="R74">
        <v>0.52300000000000002</v>
      </c>
      <c r="S74" s="7" t="s">
        <v>29</v>
      </c>
      <c r="U74" s="2"/>
    </row>
    <row r="75" spans="1:22" x14ac:dyDescent="0.25">
      <c r="C75" s="7" t="s">
        <v>26</v>
      </c>
      <c r="E75" s="2"/>
      <c r="K75" s="7" t="s">
        <v>28</v>
      </c>
      <c r="M75" s="2"/>
      <c r="S75" s="7" t="s">
        <v>30</v>
      </c>
      <c r="U75" s="2"/>
    </row>
    <row r="76" spans="1:22" x14ac:dyDescent="0.25">
      <c r="D76" t="s">
        <v>4</v>
      </c>
      <c r="E76" t="s">
        <v>5</v>
      </c>
      <c r="L76" t="s">
        <v>4</v>
      </c>
      <c r="M76" t="s">
        <v>5</v>
      </c>
      <c r="T76" t="s">
        <v>4</v>
      </c>
      <c r="U76" t="s">
        <v>5</v>
      </c>
    </row>
    <row r="77" spans="1:22" ht="18" x14ac:dyDescent="0.35">
      <c r="A77" t="s">
        <v>0</v>
      </c>
      <c r="B77" t="s">
        <v>1</v>
      </c>
      <c r="C77" t="s">
        <v>2</v>
      </c>
      <c r="D77" t="s">
        <v>31</v>
      </c>
      <c r="E77" t="s">
        <v>31</v>
      </c>
      <c r="F77" t="s">
        <v>32</v>
      </c>
      <c r="I77" t="s">
        <v>0</v>
      </c>
      <c r="J77" t="s">
        <v>1</v>
      </c>
      <c r="K77" t="s">
        <v>2</v>
      </c>
      <c r="L77" t="s">
        <v>31</v>
      </c>
      <c r="M77" t="s">
        <v>31</v>
      </c>
      <c r="N77" t="s">
        <v>32</v>
      </c>
      <c r="Q77" t="s">
        <v>0</v>
      </c>
      <c r="R77" t="s">
        <v>1</v>
      </c>
      <c r="S77" t="s">
        <v>2</v>
      </c>
      <c r="T77" t="s">
        <v>31</v>
      </c>
      <c r="U77" t="s">
        <v>31</v>
      </c>
      <c r="V77" t="s">
        <v>32</v>
      </c>
    </row>
    <row r="78" spans="1:22" ht="18" x14ac:dyDescent="0.35">
      <c r="A78">
        <v>10</v>
      </c>
      <c r="B78">
        <v>2.1</v>
      </c>
      <c r="C78" s="3">
        <f>H6</f>
        <v>1.8966666666666665</v>
      </c>
      <c r="D78">
        <f>LN((B78/C78)-1)</f>
        <v>-2.2330065699530177</v>
      </c>
      <c r="E78" t="e">
        <f>(($C$29*A78)-($C$29*$D$29))</f>
        <v>#VALUE!</v>
      </c>
      <c r="F78" t="s">
        <v>33</v>
      </c>
      <c r="I78">
        <v>10</v>
      </c>
      <c r="J78">
        <v>2.1</v>
      </c>
      <c r="K78" s="3">
        <f>I6</f>
        <v>1.8</v>
      </c>
      <c r="L78">
        <f>LN((J78/K78)-1)</f>
        <v>-1.7917594692280545</v>
      </c>
      <c r="M78" t="e">
        <f>(($C$29*I78)-($C$29*$D$29))</f>
        <v>#VALUE!</v>
      </c>
      <c r="N78" t="s">
        <v>33</v>
      </c>
      <c r="Q78">
        <v>10</v>
      </c>
      <c r="R78">
        <v>2.1</v>
      </c>
      <c r="S78" s="3">
        <f>J6</f>
        <v>1.8466666666666667</v>
      </c>
      <c r="T78">
        <f>LN((R78/S78)-1)</f>
        <v>-1.9864313464609531</v>
      </c>
      <c r="U78" t="e">
        <f>(($C$29*Q78)-($C$29*$D$29))</f>
        <v>#VALUE!</v>
      </c>
      <c r="V78" t="s">
        <v>33</v>
      </c>
    </row>
    <row r="79" spans="1:22" ht="18" x14ac:dyDescent="0.35">
      <c r="A79">
        <v>20</v>
      </c>
      <c r="B79">
        <v>2.1</v>
      </c>
      <c r="C79" s="3">
        <f t="shared" ref="C79:C83" si="18">H7</f>
        <v>0.90666666666666673</v>
      </c>
      <c r="D79">
        <f>LN((B79/C79)-1)</f>
        <v>0.27473092010470279</v>
      </c>
      <c r="E79" t="e">
        <f t="shared" ref="E79:E83" si="19">(($C$29*A79)-($C$29*$D$29))</f>
        <v>#VALUE!</v>
      </c>
      <c r="F79" s="4" t="s">
        <v>34</v>
      </c>
      <c r="I79">
        <v>20</v>
      </c>
      <c r="J79">
        <v>2.1</v>
      </c>
      <c r="K79" s="3">
        <f t="shared" ref="K79:K83" si="20">I7</f>
        <v>1.2766666666666666</v>
      </c>
      <c r="L79">
        <f>LN((J79/K79)-1)</f>
        <v>-0.43864665255266844</v>
      </c>
      <c r="M79" t="e">
        <f t="shared" ref="M79:M83" si="21">(($C$29*I79)-($C$29*$D$29))</f>
        <v>#VALUE!</v>
      </c>
      <c r="N79" s="4" t="s">
        <v>34</v>
      </c>
      <c r="Q79">
        <v>20</v>
      </c>
      <c r="R79">
        <v>2.1</v>
      </c>
      <c r="S79" s="3">
        <f t="shared" ref="S79:S83" si="22">J7</f>
        <v>1.1399999999999999</v>
      </c>
      <c r="T79">
        <f>LN((R79/S79)-1)</f>
        <v>-0.17185025692665901</v>
      </c>
      <c r="U79" t="e">
        <f t="shared" ref="U79:U83" si="23">(($C$29*Q79)-($C$29*$D$29))</f>
        <v>#VALUE!</v>
      </c>
      <c r="V79" s="4" t="s">
        <v>34</v>
      </c>
    </row>
    <row r="80" spans="1:22" x14ac:dyDescent="0.25">
      <c r="A80">
        <v>30</v>
      </c>
      <c r="B80">
        <v>2.1</v>
      </c>
      <c r="C80" s="3">
        <f t="shared" si="18"/>
        <v>0.34999999999999992</v>
      </c>
      <c r="D80">
        <f t="shared" ref="D80:D83" si="24">LN((B80/C80)-1)</f>
        <v>1.6094379124341007</v>
      </c>
      <c r="E80" t="e">
        <f t="shared" si="19"/>
        <v>#VALUE!</v>
      </c>
      <c r="F80" s="4" t="s">
        <v>35</v>
      </c>
      <c r="I80">
        <v>30</v>
      </c>
      <c r="J80">
        <v>2.1</v>
      </c>
      <c r="K80" s="3">
        <f t="shared" si="20"/>
        <v>0.93666666666666665</v>
      </c>
      <c r="L80">
        <f t="shared" ref="L80:L83" si="25">LN((J80/K80)-1)</f>
        <v>0.21671725286868149</v>
      </c>
      <c r="M80" t="e">
        <f t="shared" si="21"/>
        <v>#VALUE!</v>
      </c>
      <c r="N80" s="4" t="s">
        <v>35</v>
      </c>
      <c r="Q80">
        <v>30</v>
      </c>
      <c r="R80">
        <v>2.1</v>
      </c>
      <c r="S80" s="3">
        <f t="shared" si="22"/>
        <v>1.01</v>
      </c>
      <c r="T80">
        <f t="shared" ref="T80:T83" si="26">LN((R80/S80)-1)</f>
        <v>7.6227365387884313E-2</v>
      </c>
      <c r="U80" t="e">
        <f t="shared" si="23"/>
        <v>#VALUE!</v>
      </c>
      <c r="V80" s="4" t="s">
        <v>35</v>
      </c>
    </row>
    <row r="81" spans="1:22" x14ac:dyDescent="0.25">
      <c r="A81">
        <v>40</v>
      </c>
      <c r="B81">
        <v>2.1</v>
      </c>
      <c r="C81" s="3">
        <f t="shared" si="18"/>
        <v>0.19666666666666668</v>
      </c>
      <c r="D81">
        <f t="shared" si="24"/>
        <v>2.2698517657502908</v>
      </c>
      <c r="E81" t="e">
        <f t="shared" si="19"/>
        <v>#VALUE!</v>
      </c>
      <c r="I81">
        <v>40</v>
      </c>
      <c r="J81">
        <v>2.1</v>
      </c>
      <c r="K81" s="3">
        <f t="shared" si="20"/>
        <v>0.71333333333333326</v>
      </c>
      <c r="L81">
        <f t="shared" si="25"/>
        <v>0.66470924523941188</v>
      </c>
      <c r="M81" t="e">
        <f t="shared" si="21"/>
        <v>#VALUE!</v>
      </c>
      <c r="Q81">
        <v>40</v>
      </c>
      <c r="R81">
        <v>2.1</v>
      </c>
      <c r="S81" s="3">
        <f t="shared" si="22"/>
        <v>0.65666666666666673</v>
      </c>
      <c r="T81">
        <f t="shared" si="26"/>
        <v>0.78753399926450141</v>
      </c>
      <c r="U81" t="e">
        <f t="shared" si="23"/>
        <v>#VALUE!</v>
      </c>
    </row>
    <row r="82" spans="1:22" ht="18" x14ac:dyDescent="0.35">
      <c r="A82">
        <v>50</v>
      </c>
      <c r="B82">
        <v>2.1</v>
      </c>
      <c r="C82" s="3">
        <f t="shared" si="18"/>
        <v>0.18333333333333335</v>
      </c>
      <c r="D82">
        <f t="shared" si="24"/>
        <v>2.3470368555648795</v>
      </c>
      <c r="E82" t="e">
        <f t="shared" si="19"/>
        <v>#VALUE!</v>
      </c>
      <c r="F82" t="s">
        <v>36</v>
      </c>
      <c r="I82">
        <v>50</v>
      </c>
      <c r="J82">
        <v>2.1</v>
      </c>
      <c r="K82" s="3">
        <f t="shared" si="20"/>
        <v>0.57999999999999996</v>
      </c>
      <c r="L82">
        <f t="shared" si="25"/>
        <v>0.96343751029985714</v>
      </c>
      <c r="M82" t="e">
        <f t="shared" si="21"/>
        <v>#VALUE!</v>
      </c>
      <c r="N82" t="s">
        <v>36</v>
      </c>
      <c r="Q82">
        <v>50</v>
      </c>
      <c r="R82">
        <v>2.1</v>
      </c>
      <c r="S82" s="3">
        <f t="shared" si="22"/>
        <v>0.58333333333333337</v>
      </c>
      <c r="T82">
        <f t="shared" si="26"/>
        <v>0.95551144502743635</v>
      </c>
      <c r="U82" t="e">
        <f t="shared" si="23"/>
        <v>#VALUE!</v>
      </c>
      <c r="V82" t="s">
        <v>36</v>
      </c>
    </row>
    <row r="83" spans="1:22" x14ac:dyDescent="0.25">
      <c r="A83">
        <f>A68</f>
        <v>0</v>
      </c>
      <c r="B83">
        <v>2.1</v>
      </c>
      <c r="C83" s="3">
        <f t="shared" si="18"/>
        <v>0.1466666666666667</v>
      </c>
      <c r="D83">
        <f t="shared" si="24"/>
        <v>2.5891301556587512</v>
      </c>
      <c r="E83" t="e">
        <f t="shared" si="19"/>
        <v>#VALUE!</v>
      </c>
      <c r="I83">
        <f>I68</f>
        <v>0</v>
      </c>
      <c r="J83">
        <v>2.1</v>
      </c>
      <c r="K83" s="3">
        <f t="shared" si="20"/>
        <v>0.54333333333333333</v>
      </c>
      <c r="L83">
        <f t="shared" si="25"/>
        <v>1.0525790568621352</v>
      </c>
      <c r="M83" t="e">
        <f t="shared" si="21"/>
        <v>#VALUE!</v>
      </c>
      <c r="Q83">
        <f>Q68</f>
        <v>0</v>
      </c>
      <c r="R83">
        <v>2.1</v>
      </c>
      <c r="S83" s="3">
        <f t="shared" si="22"/>
        <v>0.60666666666666658</v>
      </c>
      <c r="T83">
        <f t="shared" si="26"/>
        <v>0.90078654533819003</v>
      </c>
      <c r="U83" t="e">
        <f t="shared" si="23"/>
        <v>#VALUE!</v>
      </c>
    </row>
    <row r="86" spans="1:22" ht="18" x14ac:dyDescent="0.35">
      <c r="A86" t="s">
        <v>6</v>
      </c>
      <c r="B86" t="s">
        <v>7</v>
      </c>
      <c r="C86" t="s">
        <v>8</v>
      </c>
      <c r="D86" s="4" t="s">
        <v>38</v>
      </c>
      <c r="I86" t="s">
        <v>6</v>
      </c>
      <c r="J86" t="s">
        <v>7</v>
      </c>
      <c r="K86" t="s">
        <v>8</v>
      </c>
      <c r="L86" s="4" t="s">
        <v>38</v>
      </c>
      <c r="Q86" t="s">
        <v>6</v>
      </c>
      <c r="R86" t="s">
        <v>7</v>
      </c>
      <c r="S86" t="s">
        <v>8</v>
      </c>
      <c r="T86" s="4" t="s">
        <v>38</v>
      </c>
    </row>
    <row r="87" spans="1:22" x14ac:dyDescent="0.25">
      <c r="A87">
        <f>SLOPE(D79:D83,A79:A83)</f>
        <v>4.9989298087948549E-3</v>
      </c>
      <c r="B87">
        <f>INTERCEPT(D79:D83,A79:A83)</f>
        <v>1.6780674872562891</v>
      </c>
      <c r="C87">
        <f>A87/-B78</f>
        <v>-2.3804427660927881E-3</v>
      </c>
      <c r="D87">
        <f>((B87*B74)/(C87*B71))</f>
        <v>-2.7247356726665131E-2</v>
      </c>
      <c r="I87">
        <f>SLOPE(L79:L83,I79:I83)</f>
        <v>2.4611691239788706E-3</v>
      </c>
      <c r="J87">
        <f>INTERCEPT(L79:L83,I79:I83)</f>
        <v>0.42284654707207509</v>
      </c>
      <c r="K87">
        <f>I87/-J78</f>
        <v>-1.1719852971327955E-3</v>
      </c>
      <c r="L87">
        <f>((J87*J74)/(K87*J71))</f>
        <v>-2.099835950676238E-2</v>
      </c>
      <c r="Q87">
        <f>SLOPE(T79:T83,Q79:Q83)</f>
        <v>4.5789819584441472E-3</v>
      </c>
      <c r="R87">
        <f>INTERCEPT(T79:T83,Q79:Q83)</f>
        <v>0.38143032478183447</v>
      </c>
      <c r="S87">
        <f>Q87/-R78</f>
        <v>-2.1804675992591178E-3</v>
      </c>
      <c r="T87">
        <f>((R87*R74)/(S87*R71))</f>
        <v>-2.0323135809351186E-2</v>
      </c>
    </row>
  </sheetData>
  <mergeCells count="13">
    <mergeCell ref="A73:F73"/>
    <mergeCell ref="I73:N73"/>
    <mergeCell ref="Q73:V73"/>
    <mergeCell ref="Q16:V16"/>
    <mergeCell ref="A44:F44"/>
    <mergeCell ref="I44:N44"/>
    <mergeCell ref="Q44:V44"/>
    <mergeCell ref="A1:J1"/>
    <mergeCell ref="B2:D2"/>
    <mergeCell ref="E2:G2"/>
    <mergeCell ref="H2:J2"/>
    <mergeCell ref="A16:F16"/>
    <mergeCell ref="I16:N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opLeftCell="B67" workbookViewId="0">
      <selection activeCell="T21" sqref="T21"/>
    </sheetView>
  </sheetViews>
  <sheetFormatPr defaultRowHeight="15" x14ac:dyDescent="0.25"/>
  <cols>
    <col min="1" max="1" width="10.7109375" bestFit="1" customWidth="1"/>
    <col min="2" max="2" width="13.140625" bestFit="1" customWidth="1"/>
    <col min="3" max="3" width="12.5703125" bestFit="1" customWidth="1"/>
    <col min="4" max="4" width="12.28515625" bestFit="1" customWidth="1"/>
    <col min="5" max="5" width="13.140625" bestFit="1" customWidth="1"/>
    <col min="6" max="6" width="12.5703125" bestFit="1" customWidth="1"/>
    <col min="7" max="7" width="12.28515625" bestFit="1" customWidth="1"/>
    <col min="8" max="8" width="13.140625" bestFit="1" customWidth="1"/>
    <col min="9" max="9" width="12.5703125" bestFit="1" customWidth="1"/>
    <col min="10" max="10" width="12.28515625" bestFit="1" customWidth="1"/>
  </cols>
  <sheetData>
    <row r="1" spans="1:22" x14ac:dyDescent="0.25">
      <c r="A1" s="28" t="str">
        <f>'[1]Manganese Graphs'!C34</f>
        <v>Manganese (mg/l)</v>
      </c>
      <c r="B1" s="28"/>
      <c r="C1" s="28"/>
      <c r="D1" s="28"/>
      <c r="E1" s="28"/>
      <c r="F1" s="28"/>
      <c r="G1" s="28"/>
      <c r="H1" s="28"/>
      <c r="I1" s="28"/>
      <c r="J1" s="28"/>
    </row>
    <row r="2" spans="1:22" x14ac:dyDescent="0.25">
      <c r="A2" s="1" t="str">
        <f>'[1]Manganese Graphs'!C35</f>
        <v>Time (min)</v>
      </c>
      <c r="B2" s="28">
        <f>'[1]Manganese Graphs'!D35</f>
        <v>6.5</v>
      </c>
      <c r="C2" s="28"/>
      <c r="D2" s="28"/>
      <c r="E2" s="28">
        <f>'[1]Manganese Graphs'!G35</f>
        <v>7.5</v>
      </c>
      <c r="F2" s="28"/>
      <c r="G2" s="28"/>
      <c r="H2" s="28">
        <f>'[1]Manganese Graphs'!J35</f>
        <v>8.5</v>
      </c>
      <c r="I2" s="28"/>
      <c r="J2" s="28"/>
    </row>
    <row r="3" spans="1:22" x14ac:dyDescent="0.25">
      <c r="A3" s="1"/>
      <c r="B3" s="1" t="str">
        <f>'[1]Manganese Graphs'!D36</f>
        <v>0,174 (l/min)</v>
      </c>
      <c r="C3" s="1" t="str">
        <f>'[1]Manganese Graphs'!E36</f>
        <v>0,262 (l/min)</v>
      </c>
      <c r="D3" s="1" t="str">
        <f>'[1]Manganese Graphs'!F36</f>
        <v>0,523 (l/min)</v>
      </c>
      <c r="E3" s="1" t="str">
        <f>'[1]Manganese Graphs'!G36</f>
        <v>0,174 (l/min)</v>
      </c>
      <c r="F3" s="1" t="str">
        <f>'[1]Manganese Graphs'!H36</f>
        <v>0,262 (l/min)</v>
      </c>
      <c r="G3" s="1" t="str">
        <f>'[1]Manganese Graphs'!I36</f>
        <v>0,523 (l/min)</v>
      </c>
      <c r="H3" s="1" t="str">
        <f>'[1]Manganese Graphs'!J36</f>
        <v>0,174 (l/min)</v>
      </c>
      <c r="I3" s="1" t="str">
        <f>'[1]Manganese Graphs'!K36</f>
        <v>0,262 (l/min)</v>
      </c>
      <c r="J3" s="1" t="str">
        <f>'[1]Manganese Graphs'!L36</f>
        <v>0,523 (l/min)</v>
      </c>
    </row>
    <row r="4" spans="1:22" x14ac:dyDescent="0.25">
      <c r="A4" s="1"/>
      <c r="B4" s="1" t="str">
        <f>'[1]Manganese Graphs'!D37</f>
        <v>1,67 (ml/min)</v>
      </c>
      <c r="C4" s="1" t="str">
        <f>'[1]Manganese Graphs'!E37</f>
        <v>2,52(ml/min)</v>
      </c>
      <c r="D4" s="1" t="str">
        <f>'[1]Manganese Graphs'!F37</f>
        <v>5,0 (ml/min)</v>
      </c>
      <c r="E4" s="1" t="str">
        <f>'[1]Manganese Graphs'!G37</f>
        <v>1,67 (ml/min)</v>
      </c>
      <c r="F4" s="1" t="str">
        <f>'[1]Manganese Graphs'!H37</f>
        <v>2,52(ml/min)</v>
      </c>
      <c r="G4" s="1" t="str">
        <f>'[1]Manganese Graphs'!I37</f>
        <v>5,0 (ml/min)</v>
      </c>
      <c r="H4" s="1" t="str">
        <f>'[1]Manganese Graphs'!J37</f>
        <v>1,67 (ml/min)</v>
      </c>
      <c r="I4" s="1" t="str">
        <f>'[1]Manganese Graphs'!K37</f>
        <v>2,52(ml/min)</v>
      </c>
      <c r="J4" s="1" t="str">
        <f>'[1]Manganese Graphs'!L37</f>
        <v>5,0 (ml/min)</v>
      </c>
    </row>
    <row r="5" spans="1:22" x14ac:dyDescent="0.25">
      <c r="A5">
        <f>'[1]Manganese Graphs'!C38</f>
        <v>10</v>
      </c>
      <c r="B5" s="2">
        <f>'[1]Manganese Graphs'!D38</f>
        <v>0.3</v>
      </c>
      <c r="C5" s="2">
        <f>'[1]Manganese Graphs'!E38</f>
        <v>0.2</v>
      </c>
      <c r="D5" s="2">
        <f>'[1]Manganese Graphs'!F38</f>
        <v>0.5</v>
      </c>
      <c r="E5" s="2">
        <f>'[1]Manganese Graphs'!G38</f>
        <v>0.53</v>
      </c>
      <c r="F5" s="2">
        <f>'[1]Manganese Graphs'!H38</f>
        <v>0.37</v>
      </c>
      <c r="G5" s="2">
        <f>'[1]Manganese Graphs'!I38</f>
        <v>0.5</v>
      </c>
      <c r="H5" s="2">
        <f>'[1]Manganese Graphs'!J38</f>
        <v>0.53333333333333333</v>
      </c>
      <c r="I5" s="2">
        <f>'[1]Manganese Graphs'!K38</f>
        <v>0.53333333333333333</v>
      </c>
      <c r="J5" s="2">
        <f>'[1]Manganese Graphs'!L38</f>
        <v>0.6333333333333333</v>
      </c>
    </row>
    <row r="6" spans="1:22" x14ac:dyDescent="0.25">
      <c r="A6">
        <f>'[1]Manganese Graphs'!C39</f>
        <v>20</v>
      </c>
      <c r="B6" s="2">
        <f>'[1]Manganese Graphs'!D39</f>
        <v>0.4</v>
      </c>
      <c r="C6" s="2">
        <f>'[1]Manganese Graphs'!E39</f>
        <v>0.2</v>
      </c>
      <c r="D6" s="2">
        <f>'[1]Manganese Graphs'!F39</f>
        <v>0.6</v>
      </c>
      <c r="E6" s="2">
        <f>'[1]Manganese Graphs'!G39</f>
        <v>0.5</v>
      </c>
      <c r="F6" s="2">
        <f>'[1]Manganese Graphs'!H39</f>
        <v>0.3</v>
      </c>
      <c r="G6" s="2">
        <f>'[1]Manganese Graphs'!I39</f>
        <v>0.6</v>
      </c>
      <c r="H6" s="2">
        <f>'[1]Manganese Graphs'!J39</f>
        <v>0.56666666666666676</v>
      </c>
      <c r="I6" s="2">
        <f>'[1]Manganese Graphs'!K39</f>
        <v>0.5</v>
      </c>
      <c r="J6" s="2">
        <f>'[1]Manganese Graphs'!L39</f>
        <v>0.5</v>
      </c>
    </row>
    <row r="7" spans="1:22" x14ac:dyDescent="0.25">
      <c r="A7">
        <f>'[1]Manganese Graphs'!C40</f>
        <v>30</v>
      </c>
      <c r="B7" s="2">
        <f>'[1]Manganese Graphs'!D40</f>
        <v>0.63</v>
      </c>
      <c r="C7" s="2">
        <f>'[1]Manganese Graphs'!E40</f>
        <v>0.37</v>
      </c>
      <c r="D7" s="2">
        <f>'[1]Manganese Graphs'!F40</f>
        <v>0.63</v>
      </c>
      <c r="E7" s="2">
        <f>'[1]Manganese Graphs'!G40</f>
        <v>0.5</v>
      </c>
      <c r="F7" s="2">
        <f>'[1]Manganese Graphs'!H40</f>
        <v>0.33</v>
      </c>
      <c r="G7" s="2">
        <f>'[1]Manganese Graphs'!I40</f>
        <v>0.63</v>
      </c>
      <c r="H7" s="2">
        <f>'[1]Manganese Graphs'!J40</f>
        <v>0.46666666666666662</v>
      </c>
      <c r="I7" s="2">
        <f>'[1]Manganese Graphs'!K40</f>
        <v>0.5</v>
      </c>
      <c r="J7" s="2">
        <f>'[1]Manganese Graphs'!L40</f>
        <v>0.56666666666666676</v>
      </c>
    </row>
    <row r="8" spans="1:22" x14ac:dyDescent="0.25">
      <c r="A8">
        <f>'[1]Manganese Graphs'!C41</f>
        <v>40</v>
      </c>
      <c r="B8" s="2">
        <f>'[1]Manganese Graphs'!D41</f>
        <v>0.6</v>
      </c>
      <c r="C8" s="2">
        <f>'[1]Manganese Graphs'!E41</f>
        <v>0.3</v>
      </c>
      <c r="D8" s="2">
        <f>'[1]Manganese Graphs'!F41</f>
        <v>0.6</v>
      </c>
      <c r="E8" s="2">
        <f>'[1]Manganese Graphs'!G41</f>
        <v>0.5</v>
      </c>
      <c r="F8" s="2">
        <f>'[1]Manganese Graphs'!H41</f>
        <v>0.4</v>
      </c>
      <c r="G8" s="2">
        <f>'[1]Manganese Graphs'!I41</f>
        <v>0.6</v>
      </c>
      <c r="H8" s="2">
        <f>'[1]Manganese Graphs'!J41</f>
        <v>0.33333333333333331</v>
      </c>
      <c r="I8" s="2">
        <f>'[1]Manganese Graphs'!K41</f>
        <v>0.5</v>
      </c>
      <c r="J8" s="2">
        <f>'[1]Manganese Graphs'!L41</f>
        <v>0.56666666666666676</v>
      </c>
    </row>
    <row r="9" spans="1:22" x14ac:dyDescent="0.25">
      <c r="A9">
        <f>'[1]Manganese Graphs'!C42</f>
        <v>50</v>
      </c>
      <c r="B9" s="2">
        <f>'[1]Manganese Graphs'!D42</f>
        <v>0.5</v>
      </c>
      <c r="C9" s="2">
        <f>'[1]Manganese Graphs'!E42</f>
        <v>0.3</v>
      </c>
      <c r="D9" s="2">
        <f>'[1]Manganese Graphs'!F42</f>
        <v>0.4</v>
      </c>
      <c r="E9" s="2">
        <f>'[1]Manganese Graphs'!G42</f>
        <v>0.5</v>
      </c>
      <c r="F9" s="2">
        <f>'[1]Manganese Graphs'!H42</f>
        <v>0.4</v>
      </c>
      <c r="G9" s="2">
        <f>'[1]Manganese Graphs'!I42</f>
        <v>0.4</v>
      </c>
      <c r="H9" s="2">
        <f>'[1]Manganese Graphs'!J42</f>
        <v>0.43333333333333335</v>
      </c>
      <c r="I9" s="2">
        <f>'[1]Manganese Graphs'!K42</f>
        <v>0.46666666666666662</v>
      </c>
      <c r="J9" s="2">
        <f>'[1]Manganese Graphs'!L42</f>
        <v>0.6333333333333333</v>
      </c>
    </row>
    <row r="10" spans="1:22" x14ac:dyDescent="0.25">
      <c r="A10">
        <f>'[1]Manganese Graphs'!C43</f>
        <v>60</v>
      </c>
      <c r="B10" s="2">
        <f>'[1]Manganese Graphs'!D43</f>
        <v>0.5</v>
      </c>
      <c r="C10" s="2">
        <f>'[1]Manganese Graphs'!E43</f>
        <v>0.37</v>
      </c>
      <c r="D10" s="2">
        <f>'[1]Manganese Graphs'!F43</f>
        <v>0.5</v>
      </c>
      <c r="E10" s="2">
        <f>'[1]Manganese Graphs'!G43</f>
        <v>0.47</v>
      </c>
      <c r="F10" s="2">
        <f>'[1]Manganese Graphs'!H43</f>
        <v>0.3</v>
      </c>
      <c r="G10" s="2">
        <f>'[1]Manganese Graphs'!I43</f>
        <v>0.5</v>
      </c>
      <c r="H10" s="2">
        <f>'[1]Manganese Graphs'!J43</f>
        <v>0.53333333333333333</v>
      </c>
      <c r="I10" s="2">
        <f>'[1]Manganese Graphs'!K43</f>
        <v>0.53333333333333333</v>
      </c>
      <c r="J10" s="2">
        <f>'[1]Manganese Graphs'!L43</f>
        <v>0.6</v>
      </c>
    </row>
    <row r="13" spans="1:22" x14ac:dyDescent="0.25">
      <c r="A13" t="s">
        <v>21</v>
      </c>
      <c r="B13">
        <v>4501.7</v>
      </c>
      <c r="C13" t="s">
        <v>22</v>
      </c>
      <c r="Q13" t="s">
        <v>21</v>
      </c>
      <c r="R13">
        <v>4501.7</v>
      </c>
      <c r="S13" t="s">
        <v>22</v>
      </c>
    </row>
    <row r="14" spans="1:22" x14ac:dyDescent="0.25">
      <c r="A14" t="s">
        <v>23</v>
      </c>
      <c r="B14">
        <v>5.23</v>
      </c>
      <c r="C14" t="s">
        <v>24</v>
      </c>
      <c r="E14" s="1"/>
      <c r="I14" t="s">
        <v>21</v>
      </c>
      <c r="J14">
        <v>4501.7</v>
      </c>
      <c r="K14" t="s">
        <v>22</v>
      </c>
    </row>
    <row r="15" spans="1:22" x14ac:dyDescent="0.25">
      <c r="A15" s="28">
        <v>6.5</v>
      </c>
      <c r="B15" s="28"/>
      <c r="C15" s="28"/>
      <c r="D15" s="28"/>
      <c r="E15" s="28"/>
      <c r="F15" s="28"/>
      <c r="I15" s="28">
        <v>6.5</v>
      </c>
      <c r="J15" s="28"/>
      <c r="K15" s="28"/>
      <c r="L15" s="28"/>
      <c r="M15" s="28"/>
      <c r="N15" s="28"/>
      <c r="Q15" s="28">
        <v>6.5</v>
      </c>
      <c r="R15" s="28"/>
      <c r="S15" s="28"/>
      <c r="T15" s="28"/>
      <c r="U15" s="28"/>
      <c r="V15" s="28"/>
    </row>
    <row r="16" spans="1:22" x14ac:dyDescent="0.25">
      <c r="A16" t="s">
        <v>37</v>
      </c>
      <c r="B16">
        <v>0.17399999999999999</v>
      </c>
      <c r="C16" s="7" t="s">
        <v>25</v>
      </c>
      <c r="E16" s="2"/>
      <c r="I16" t="s">
        <v>37</v>
      </c>
      <c r="J16">
        <v>0.26200000000000001</v>
      </c>
      <c r="K16" s="1" t="s">
        <v>27</v>
      </c>
      <c r="M16" s="2"/>
      <c r="Q16" t="s">
        <v>37</v>
      </c>
      <c r="R16">
        <v>0.52300000000000002</v>
      </c>
      <c r="S16" s="7" t="s">
        <v>29</v>
      </c>
      <c r="U16" s="2"/>
    </row>
    <row r="17" spans="1:22" x14ac:dyDescent="0.25">
      <c r="C17" s="7" t="s">
        <v>26</v>
      </c>
      <c r="E17" s="2"/>
      <c r="K17" s="6" t="s">
        <v>28</v>
      </c>
      <c r="M17" s="2"/>
      <c r="S17" s="7" t="s">
        <v>30</v>
      </c>
      <c r="U17" s="2"/>
    </row>
    <row r="18" spans="1:22" x14ac:dyDescent="0.25">
      <c r="D18" t="s">
        <v>4</v>
      </c>
      <c r="E18" t="s">
        <v>5</v>
      </c>
      <c r="L18" t="s">
        <v>4</v>
      </c>
      <c r="M18" t="s">
        <v>5</v>
      </c>
      <c r="T18" t="s">
        <v>4</v>
      </c>
      <c r="U18" t="s">
        <v>5</v>
      </c>
    </row>
    <row r="19" spans="1:22" ht="18" x14ac:dyDescent="0.35">
      <c r="A19" t="s">
        <v>0</v>
      </c>
      <c r="B19" t="s">
        <v>1</v>
      </c>
      <c r="C19" t="s">
        <v>2</v>
      </c>
      <c r="D19" t="s">
        <v>31</v>
      </c>
      <c r="E19" t="s">
        <v>31</v>
      </c>
      <c r="F19" t="s">
        <v>32</v>
      </c>
      <c r="I19" t="s">
        <v>0</v>
      </c>
      <c r="J19" t="s">
        <v>1</v>
      </c>
      <c r="K19" t="s">
        <v>2</v>
      </c>
      <c r="L19" t="s">
        <v>31</v>
      </c>
      <c r="M19" t="s">
        <v>31</v>
      </c>
      <c r="N19" t="s">
        <v>32</v>
      </c>
      <c r="Q19" t="s">
        <v>0</v>
      </c>
      <c r="R19" t="s">
        <v>1</v>
      </c>
      <c r="S19" t="s">
        <v>2</v>
      </c>
      <c r="T19" t="s">
        <v>31</v>
      </c>
      <c r="U19" t="s">
        <v>31</v>
      </c>
      <c r="V19" t="s">
        <v>32</v>
      </c>
    </row>
    <row r="20" spans="1:22" ht="18" x14ac:dyDescent="0.35">
      <c r="A20">
        <v>10</v>
      </c>
      <c r="B20">
        <v>2.1</v>
      </c>
      <c r="C20" s="3">
        <f>B5</f>
        <v>0.3</v>
      </c>
      <c r="D20">
        <f>LN((B20/C20)-1)</f>
        <v>1.7917594692280552</v>
      </c>
      <c r="E20">
        <f>(($C$29*A20)-($C$29*$D$29))</f>
        <v>1.1938230604468936E-2</v>
      </c>
      <c r="F20" t="s">
        <v>33</v>
      </c>
      <c r="I20">
        <v>10</v>
      </c>
      <c r="J20">
        <v>2.1</v>
      </c>
      <c r="K20" s="3">
        <f>C5</f>
        <v>0.2</v>
      </c>
      <c r="L20">
        <f>LN((J20/K20)-1)</f>
        <v>2.2512917986064953</v>
      </c>
      <c r="M20">
        <f>(($C$29*I20)-($C$29*$D$29))</f>
        <v>1.1938230604468936E-2</v>
      </c>
      <c r="N20" t="s">
        <v>33</v>
      </c>
      <c r="Q20">
        <v>10</v>
      </c>
      <c r="R20">
        <v>2.1</v>
      </c>
      <c r="S20" s="3">
        <f>D5</f>
        <v>0.5</v>
      </c>
      <c r="T20">
        <f>LN((R20/S20)-1)</f>
        <v>1.1631508098056809</v>
      </c>
      <c r="U20">
        <f>(($C$29*Q20)-($C$29*$D$29))</f>
        <v>1.1938230604468936E-2</v>
      </c>
      <c r="V20" t="s">
        <v>33</v>
      </c>
    </row>
    <row r="21" spans="1:22" ht="18" x14ac:dyDescent="0.35">
      <c r="A21">
        <v>20</v>
      </c>
      <c r="B21">
        <v>2.1</v>
      </c>
      <c r="C21" s="3">
        <f t="shared" ref="C21:C25" si="0">B6</f>
        <v>0.4</v>
      </c>
      <c r="D21">
        <f>LN((B21/C21)-1)</f>
        <v>1.4469189829363254</v>
      </c>
      <c r="E21">
        <f t="shared" ref="E21:E25" si="1">(($C$29*A21)-($C$29*$D$29))</f>
        <v>2.3923154263650451E-2</v>
      </c>
      <c r="F21" s="4" t="s">
        <v>34</v>
      </c>
      <c r="I21">
        <v>20</v>
      </c>
      <c r="J21">
        <v>2.1</v>
      </c>
      <c r="K21" s="3">
        <f t="shared" ref="K21:K25" si="2">C6</f>
        <v>0.2</v>
      </c>
      <c r="L21">
        <f>LN((J21/K21)-1)</f>
        <v>2.2512917986064953</v>
      </c>
      <c r="M21">
        <f t="shared" ref="M21:M25" si="3">(($C$29*I21)-($C$29*$D$29))</f>
        <v>2.3923154263650451E-2</v>
      </c>
      <c r="N21" s="4" t="s">
        <v>34</v>
      </c>
      <c r="Q21">
        <v>20</v>
      </c>
      <c r="R21">
        <v>2.1</v>
      </c>
      <c r="S21" s="3">
        <f t="shared" ref="S21:S25" si="4">D6</f>
        <v>0.6</v>
      </c>
      <c r="T21">
        <f>LN((R21/S21)-1)</f>
        <v>0.91629073187415522</v>
      </c>
      <c r="U21">
        <f t="shared" ref="U21:U25" si="5">(($C$29*Q21)-($C$29*$D$29))</f>
        <v>2.3923154263650451E-2</v>
      </c>
      <c r="V21" s="4" t="s">
        <v>34</v>
      </c>
    </row>
    <row r="22" spans="1:22" x14ac:dyDescent="0.25">
      <c r="A22">
        <v>30</v>
      </c>
      <c r="B22">
        <v>2.1</v>
      </c>
      <c r="C22" s="3">
        <f t="shared" si="0"/>
        <v>0.63</v>
      </c>
      <c r="D22">
        <f t="shared" ref="D22:D25" si="6">LN((B22/C22)-1)</f>
        <v>0.84729786038720367</v>
      </c>
      <c r="E22">
        <f t="shared" si="1"/>
        <v>3.5908077922831967E-2</v>
      </c>
      <c r="F22" s="4" t="s">
        <v>35</v>
      </c>
      <c r="I22">
        <v>30</v>
      </c>
      <c r="J22">
        <v>2.1</v>
      </c>
      <c r="K22" s="3">
        <f t="shared" si="2"/>
        <v>0.37</v>
      </c>
      <c r="L22">
        <f>LN((J22/K22)-1)</f>
        <v>1.5423736818535547</v>
      </c>
      <c r="M22">
        <f t="shared" si="3"/>
        <v>3.5908077922831967E-2</v>
      </c>
      <c r="N22" s="4" t="s">
        <v>35</v>
      </c>
      <c r="Q22">
        <v>30</v>
      </c>
      <c r="R22">
        <v>2.1</v>
      </c>
      <c r="S22" s="3">
        <f t="shared" si="4"/>
        <v>0.63</v>
      </c>
      <c r="T22">
        <f t="shared" ref="T22:T25" si="7">LN((R22/S22)-1)</f>
        <v>0.84729786038720367</v>
      </c>
      <c r="U22">
        <f t="shared" si="5"/>
        <v>3.5908077922831967E-2</v>
      </c>
      <c r="V22" s="4" t="s">
        <v>35</v>
      </c>
    </row>
    <row r="23" spans="1:22" x14ac:dyDescent="0.25">
      <c r="A23">
        <v>40</v>
      </c>
      <c r="B23">
        <v>2.1</v>
      </c>
      <c r="C23" s="3">
        <f t="shared" si="0"/>
        <v>0.6</v>
      </c>
      <c r="D23">
        <f t="shared" si="6"/>
        <v>0.91629073187415522</v>
      </c>
      <c r="E23">
        <f t="shared" si="1"/>
        <v>4.7893001582013484E-2</v>
      </c>
      <c r="I23">
        <v>40</v>
      </c>
      <c r="J23">
        <v>2.1</v>
      </c>
      <c r="K23" s="3">
        <f t="shared" si="2"/>
        <v>0.3</v>
      </c>
      <c r="L23">
        <f t="shared" ref="L23:L25" si="8">LN((J23/K23)-1)</f>
        <v>1.7917594692280552</v>
      </c>
      <c r="M23">
        <f t="shared" si="3"/>
        <v>4.7893001582013484E-2</v>
      </c>
      <c r="Q23">
        <v>40</v>
      </c>
      <c r="R23">
        <v>2.1</v>
      </c>
      <c r="S23" s="3">
        <f t="shared" si="4"/>
        <v>0.6</v>
      </c>
      <c r="T23">
        <f t="shared" si="7"/>
        <v>0.91629073187415522</v>
      </c>
      <c r="U23">
        <f t="shared" si="5"/>
        <v>4.7893001582013484E-2</v>
      </c>
    </row>
    <row r="24" spans="1:22" ht="18" x14ac:dyDescent="0.35">
      <c r="A24">
        <v>50</v>
      </c>
      <c r="B24">
        <v>2.1</v>
      </c>
      <c r="C24" s="3">
        <f t="shared" si="0"/>
        <v>0.5</v>
      </c>
      <c r="D24">
        <f t="shared" si="6"/>
        <v>1.1631508098056809</v>
      </c>
      <c r="E24">
        <f t="shared" si="1"/>
        <v>5.9877925241195E-2</v>
      </c>
      <c r="F24" t="s">
        <v>36</v>
      </c>
      <c r="I24">
        <v>50</v>
      </c>
      <c r="J24">
        <v>2.1</v>
      </c>
      <c r="K24" s="3">
        <f t="shared" si="2"/>
        <v>0.3</v>
      </c>
      <c r="L24">
        <f t="shared" si="8"/>
        <v>1.7917594692280552</v>
      </c>
      <c r="M24">
        <f t="shared" si="3"/>
        <v>5.9877925241195E-2</v>
      </c>
      <c r="N24" t="s">
        <v>36</v>
      </c>
      <c r="Q24">
        <v>50</v>
      </c>
      <c r="R24">
        <v>2.1</v>
      </c>
      <c r="S24" s="3">
        <f t="shared" si="4"/>
        <v>0.4</v>
      </c>
      <c r="T24">
        <f t="shared" si="7"/>
        <v>1.4469189829363254</v>
      </c>
      <c r="U24">
        <f t="shared" si="5"/>
        <v>5.9877925241195E-2</v>
      </c>
      <c r="V24" t="s">
        <v>36</v>
      </c>
    </row>
    <row r="25" spans="1:22" x14ac:dyDescent="0.25">
      <c r="A25">
        <f>A10</f>
        <v>60</v>
      </c>
      <c r="B25">
        <v>2.1</v>
      </c>
      <c r="C25" s="3">
        <f t="shared" si="0"/>
        <v>0.5</v>
      </c>
      <c r="D25">
        <f t="shared" si="6"/>
        <v>1.1631508098056809</v>
      </c>
      <c r="E25">
        <f t="shared" si="1"/>
        <v>7.1862848900376503E-2</v>
      </c>
      <c r="I25">
        <v>60</v>
      </c>
      <c r="J25">
        <v>2.1</v>
      </c>
      <c r="K25" s="3">
        <f t="shared" si="2"/>
        <v>0.37</v>
      </c>
      <c r="L25">
        <f t="shared" si="8"/>
        <v>1.5423736818535547</v>
      </c>
      <c r="M25">
        <f t="shared" si="3"/>
        <v>7.1862848900376503E-2</v>
      </c>
      <c r="Q25">
        <v>60</v>
      </c>
      <c r="R25">
        <v>2.1</v>
      </c>
      <c r="S25" s="3">
        <f t="shared" si="4"/>
        <v>0.5</v>
      </c>
      <c r="T25">
        <f t="shared" si="7"/>
        <v>1.1631508098056809</v>
      </c>
      <c r="U25">
        <f t="shared" si="5"/>
        <v>7.1862848900376503E-2</v>
      </c>
    </row>
    <row r="28" spans="1:22" ht="18" x14ac:dyDescent="0.35">
      <c r="A28" t="s">
        <v>6</v>
      </c>
      <c r="B28" t="s">
        <v>7</v>
      </c>
      <c r="C28" t="s">
        <v>8</v>
      </c>
      <c r="D28" s="4" t="s">
        <v>38</v>
      </c>
      <c r="I28" t="s">
        <v>6</v>
      </c>
      <c r="J28" t="s">
        <v>7</v>
      </c>
      <c r="K28" t="s">
        <v>8</v>
      </c>
      <c r="L28" s="4" t="s">
        <v>38</v>
      </c>
      <c r="Q28" t="s">
        <v>6</v>
      </c>
      <c r="R28" t="s">
        <v>7</v>
      </c>
      <c r="S28" t="s">
        <v>8</v>
      </c>
      <c r="T28" s="4" t="s">
        <v>38</v>
      </c>
    </row>
    <row r="29" spans="1:22" x14ac:dyDescent="0.25">
      <c r="A29">
        <f>SLOPE(D21:D25,A21:A25)</f>
        <v>-2.5168339684281181E-3</v>
      </c>
      <c r="B29">
        <f>INTERCEPT(D21:D25,A21:A25)</f>
        <v>1.2080351976989339</v>
      </c>
      <c r="C29">
        <f>A29/-B20</f>
        <v>1.1984923659181515E-3</v>
      </c>
      <c r="D29">
        <f>((B29*B16)/(C29*B13))</f>
        <v>3.8959826562439091E-2</v>
      </c>
      <c r="I29">
        <f>SLOPE(L21:L25,I21:I25)</f>
        <v>-1.1684504461313807E-2</v>
      </c>
      <c r="J29">
        <f>INTERCEPT(L21:L25,I21:I25)</f>
        <v>2.2512917986064958</v>
      </c>
      <c r="K29">
        <f>I29/-J20</f>
        <v>5.5640497434827647E-3</v>
      </c>
      <c r="L29">
        <f>((J29*J16)/(K29*J14))</f>
        <v>2.3548623542842834E-2</v>
      </c>
      <c r="Q29">
        <f>SLOPE(T21:T25,Q21:Q25)</f>
        <v>1.0933412784121729E-2</v>
      </c>
      <c r="R29">
        <f>INTERCEPT(T21:T25,Q21:Q25)</f>
        <v>0.62065331201063489</v>
      </c>
      <c r="S29">
        <f>Q29/-R20</f>
        <v>-5.2063870400579663E-3</v>
      </c>
      <c r="T29">
        <f>((R29*R16)/(S29*R13))</f>
        <v>-1.384961709066773E-2</v>
      </c>
    </row>
    <row r="41" spans="1:22" x14ac:dyDescent="0.25">
      <c r="A41" t="s">
        <v>21</v>
      </c>
      <c r="B41">
        <v>4501.7</v>
      </c>
      <c r="C41" t="s">
        <v>22</v>
      </c>
      <c r="I41" t="s">
        <v>21</v>
      </c>
      <c r="J41">
        <v>4501.7</v>
      </c>
      <c r="K41" t="s">
        <v>22</v>
      </c>
      <c r="Q41" t="s">
        <v>21</v>
      </c>
      <c r="R41">
        <v>4501.7</v>
      </c>
      <c r="S41" t="s">
        <v>22</v>
      </c>
    </row>
    <row r="43" spans="1:22" x14ac:dyDescent="0.25">
      <c r="A43" s="28">
        <v>7.5</v>
      </c>
      <c r="B43" s="28"/>
      <c r="C43" s="28"/>
      <c r="D43" s="28"/>
      <c r="E43" s="28"/>
      <c r="F43" s="28"/>
      <c r="I43" s="28">
        <v>7.5</v>
      </c>
      <c r="J43" s="28"/>
      <c r="K43" s="28"/>
      <c r="L43" s="28"/>
      <c r="M43" s="28"/>
      <c r="N43" s="28"/>
      <c r="Q43" s="28">
        <v>7.5</v>
      </c>
      <c r="R43" s="28"/>
      <c r="S43" s="28"/>
      <c r="T43" s="28"/>
      <c r="U43" s="28"/>
      <c r="V43" s="28"/>
    </row>
    <row r="44" spans="1:22" x14ac:dyDescent="0.25">
      <c r="A44" t="s">
        <v>37</v>
      </c>
      <c r="B44">
        <v>0.17399999999999999</v>
      </c>
      <c r="C44" s="7" t="s">
        <v>25</v>
      </c>
      <c r="E44" s="2"/>
      <c r="I44" t="s">
        <v>37</v>
      </c>
      <c r="J44">
        <v>0.26200000000000001</v>
      </c>
      <c r="K44" s="7" t="s">
        <v>27</v>
      </c>
      <c r="M44" s="2"/>
      <c r="Q44" t="s">
        <v>37</v>
      </c>
      <c r="R44">
        <v>0.52300000000000002</v>
      </c>
      <c r="S44" s="7" t="s">
        <v>29</v>
      </c>
      <c r="U44" s="2"/>
    </row>
    <row r="45" spans="1:22" x14ac:dyDescent="0.25">
      <c r="C45" s="7" t="s">
        <v>26</v>
      </c>
      <c r="E45" s="2"/>
      <c r="K45" s="7" t="s">
        <v>28</v>
      </c>
      <c r="M45" s="2"/>
      <c r="S45" s="7" t="s">
        <v>30</v>
      </c>
      <c r="U45" s="2"/>
    </row>
    <row r="46" spans="1:22" x14ac:dyDescent="0.25">
      <c r="D46" t="s">
        <v>4</v>
      </c>
      <c r="E46" t="s">
        <v>5</v>
      </c>
      <c r="L46" t="s">
        <v>4</v>
      </c>
      <c r="M46" t="s">
        <v>5</v>
      </c>
      <c r="T46" t="s">
        <v>4</v>
      </c>
      <c r="U46" t="s">
        <v>5</v>
      </c>
    </row>
    <row r="47" spans="1:22" ht="18" x14ac:dyDescent="0.35">
      <c r="A47" t="s">
        <v>0</v>
      </c>
      <c r="B47" t="s">
        <v>1</v>
      </c>
      <c r="C47" t="s">
        <v>2</v>
      </c>
      <c r="D47" t="s">
        <v>31</v>
      </c>
      <c r="E47" t="s">
        <v>31</v>
      </c>
      <c r="F47" t="s">
        <v>32</v>
      </c>
      <c r="I47" t="s">
        <v>0</v>
      </c>
      <c r="J47" t="s">
        <v>1</v>
      </c>
      <c r="K47" t="s">
        <v>2</v>
      </c>
      <c r="L47" t="s">
        <v>31</v>
      </c>
      <c r="M47" t="s">
        <v>31</v>
      </c>
      <c r="N47" t="s">
        <v>32</v>
      </c>
      <c r="Q47" t="s">
        <v>0</v>
      </c>
      <c r="R47" t="s">
        <v>1</v>
      </c>
      <c r="S47" t="s">
        <v>2</v>
      </c>
      <c r="T47" t="s">
        <v>31</v>
      </c>
      <c r="U47" t="s">
        <v>31</v>
      </c>
      <c r="V47" t="s">
        <v>32</v>
      </c>
    </row>
    <row r="48" spans="1:22" ht="18" x14ac:dyDescent="0.35">
      <c r="A48">
        <v>10</v>
      </c>
      <c r="B48">
        <v>2.1</v>
      </c>
      <c r="C48" s="3">
        <f>E5</f>
        <v>0.53</v>
      </c>
      <c r="D48">
        <f>LN((B48/C48)-1)</f>
        <v>1.0859538917961862</v>
      </c>
      <c r="E48">
        <f>(($C$29*A48)-($C$29*$D$29))</f>
        <v>1.1938230604468936E-2</v>
      </c>
      <c r="F48" t="s">
        <v>33</v>
      </c>
      <c r="I48">
        <v>10</v>
      </c>
      <c r="J48">
        <v>2.1</v>
      </c>
      <c r="K48" s="3">
        <f>F5</f>
        <v>0.37</v>
      </c>
      <c r="L48">
        <f>LN((J48/K48)-1)</f>
        <v>1.5423736818535547</v>
      </c>
      <c r="M48">
        <f>(($C$29*I48)-($C$29*$D$29))</f>
        <v>1.1938230604468936E-2</v>
      </c>
      <c r="N48" t="s">
        <v>33</v>
      </c>
      <c r="Q48">
        <v>10</v>
      </c>
      <c r="R48">
        <v>2.1</v>
      </c>
      <c r="S48" s="3">
        <f>G5</f>
        <v>0.5</v>
      </c>
      <c r="T48">
        <f>LN((R48/S48)-1)</f>
        <v>1.1631508098056809</v>
      </c>
      <c r="U48">
        <f>(($C$29*Q48)-($C$29*$D$29))</f>
        <v>1.1938230604468936E-2</v>
      </c>
      <c r="V48" t="s">
        <v>33</v>
      </c>
    </row>
    <row r="49" spans="1:22" ht="18" x14ac:dyDescent="0.35">
      <c r="A49">
        <v>20</v>
      </c>
      <c r="B49">
        <v>2.1</v>
      </c>
      <c r="C49" s="3">
        <f t="shared" ref="C49:C53" si="9">E6</f>
        <v>0.5</v>
      </c>
      <c r="D49">
        <f>LN((B49/C49)-1)</f>
        <v>1.1631508098056809</v>
      </c>
      <c r="E49">
        <f t="shared" ref="E49:E53" si="10">(($C$29*A49)-($C$29*$D$29))</f>
        <v>2.3923154263650451E-2</v>
      </c>
      <c r="F49" s="4" t="s">
        <v>34</v>
      </c>
      <c r="I49">
        <v>20</v>
      </c>
      <c r="J49">
        <v>2.1</v>
      </c>
      <c r="K49" s="3">
        <f t="shared" ref="K49:K53" si="11">F6</f>
        <v>0.3</v>
      </c>
      <c r="L49">
        <f>LN((J49/K49)-1)</f>
        <v>1.7917594692280552</v>
      </c>
      <c r="M49">
        <f t="shared" ref="M49:M53" si="12">(($C$29*I49)-($C$29*$D$29))</f>
        <v>2.3923154263650451E-2</v>
      </c>
      <c r="N49" s="4" t="s">
        <v>34</v>
      </c>
      <c r="Q49">
        <v>20</v>
      </c>
      <c r="R49">
        <v>2.1</v>
      </c>
      <c r="S49" s="3">
        <f t="shared" ref="S49:S53" si="13">G6</f>
        <v>0.6</v>
      </c>
      <c r="T49">
        <f>LN((R49/S49)-1)</f>
        <v>0.91629073187415522</v>
      </c>
      <c r="U49">
        <f t="shared" ref="U49:U53" si="14">(($C$29*Q49)-($C$29*$D$29))</f>
        <v>2.3923154263650451E-2</v>
      </c>
      <c r="V49" s="4" t="s">
        <v>34</v>
      </c>
    </row>
    <row r="50" spans="1:22" x14ac:dyDescent="0.25">
      <c r="A50">
        <v>30</v>
      </c>
      <c r="B50">
        <v>2.1</v>
      </c>
      <c r="C50" s="3">
        <f t="shared" si="9"/>
        <v>0.5</v>
      </c>
      <c r="D50">
        <f t="shared" ref="D50:D53" si="15">LN((B50/C50)-1)</f>
        <v>1.1631508098056809</v>
      </c>
      <c r="E50">
        <f t="shared" si="10"/>
        <v>3.5908077922831967E-2</v>
      </c>
      <c r="F50" s="4" t="s">
        <v>35</v>
      </c>
      <c r="I50">
        <v>30</v>
      </c>
      <c r="J50">
        <v>2.1</v>
      </c>
      <c r="K50" s="3">
        <f t="shared" si="11"/>
        <v>0.33</v>
      </c>
      <c r="L50">
        <f t="shared" ref="L50:L53" si="16">LN((J50/K50)-1)</f>
        <v>1.6796421711073488</v>
      </c>
      <c r="M50">
        <f t="shared" si="12"/>
        <v>3.5908077922831967E-2</v>
      </c>
      <c r="N50" s="4" t="s">
        <v>35</v>
      </c>
      <c r="Q50">
        <v>30</v>
      </c>
      <c r="R50">
        <v>2.1</v>
      </c>
      <c r="S50" s="3">
        <f t="shared" si="13"/>
        <v>0.63</v>
      </c>
      <c r="T50">
        <f t="shared" ref="T50:T53" si="17">LN((R50/S50)-1)</f>
        <v>0.84729786038720367</v>
      </c>
      <c r="U50">
        <f t="shared" si="14"/>
        <v>3.5908077922831967E-2</v>
      </c>
      <c r="V50" s="4" t="s">
        <v>35</v>
      </c>
    </row>
    <row r="51" spans="1:22" x14ac:dyDescent="0.25">
      <c r="A51">
        <v>40</v>
      </c>
      <c r="B51">
        <v>2.1</v>
      </c>
      <c r="C51" s="3">
        <f t="shared" si="9"/>
        <v>0.5</v>
      </c>
      <c r="D51">
        <f t="shared" si="15"/>
        <v>1.1631508098056809</v>
      </c>
      <c r="E51">
        <f t="shared" si="10"/>
        <v>4.7893001582013484E-2</v>
      </c>
      <c r="I51">
        <v>40</v>
      </c>
      <c r="J51">
        <v>2.1</v>
      </c>
      <c r="K51" s="3">
        <f t="shared" si="11"/>
        <v>0.4</v>
      </c>
      <c r="L51">
        <f t="shared" si="16"/>
        <v>1.4469189829363254</v>
      </c>
      <c r="M51">
        <f t="shared" si="12"/>
        <v>4.7893001582013484E-2</v>
      </c>
      <c r="Q51">
        <v>40</v>
      </c>
      <c r="R51">
        <v>2.1</v>
      </c>
      <c r="S51" s="3">
        <f t="shared" si="13"/>
        <v>0.6</v>
      </c>
      <c r="T51">
        <f t="shared" si="17"/>
        <v>0.91629073187415522</v>
      </c>
      <c r="U51">
        <f t="shared" si="14"/>
        <v>4.7893001582013484E-2</v>
      </c>
    </row>
    <row r="52" spans="1:22" ht="18" x14ac:dyDescent="0.35">
      <c r="A52">
        <v>50</v>
      </c>
      <c r="B52">
        <v>2.1</v>
      </c>
      <c r="C52" s="3">
        <f t="shared" si="9"/>
        <v>0.5</v>
      </c>
      <c r="D52">
        <f t="shared" si="15"/>
        <v>1.1631508098056809</v>
      </c>
      <c r="E52">
        <f t="shared" si="10"/>
        <v>5.9877925241195E-2</v>
      </c>
      <c r="F52" t="s">
        <v>36</v>
      </c>
      <c r="I52">
        <v>50</v>
      </c>
      <c r="J52">
        <v>2.1</v>
      </c>
      <c r="K52" s="3">
        <f t="shared" si="11"/>
        <v>0.4</v>
      </c>
      <c r="L52">
        <f t="shared" si="16"/>
        <v>1.4469189829363254</v>
      </c>
      <c r="M52">
        <f t="shared" si="12"/>
        <v>5.9877925241195E-2</v>
      </c>
      <c r="N52" t="s">
        <v>36</v>
      </c>
      <c r="Q52">
        <v>50</v>
      </c>
      <c r="R52">
        <v>2.1</v>
      </c>
      <c r="S52" s="3">
        <f t="shared" si="13"/>
        <v>0.4</v>
      </c>
      <c r="T52">
        <f t="shared" si="17"/>
        <v>1.4469189829363254</v>
      </c>
      <c r="U52">
        <f t="shared" si="14"/>
        <v>5.9877925241195E-2</v>
      </c>
      <c r="V52" t="s">
        <v>36</v>
      </c>
    </row>
    <row r="53" spans="1:22" x14ac:dyDescent="0.25">
      <c r="A53">
        <v>60</v>
      </c>
      <c r="B53">
        <v>2.1</v>
      </c>
      <c r="C53" s="3">
        <f t="shared" si="9"/>
        <v>0.47</v>
      </c>
      <c r="D53">
        <f t="shared" si="15"/>
        <v>1.2436025990967039</v>
      </c>
      <c r="E53">
        <f t="shared" si="10"/>
        <v>7.1862848900376503E-2</v>
      </c>
      <c r="I53">
        <v>60</v>
      </c>
      <c r="J53">
        <v>2.1</v>
      </c>
      <c r="K53" s="3">
        <f t="shared" si="11"/>
        <v>0.3</v>
      </c>
      <c r="L53">
        <f t="shared" si="16"/>
        <v>1.7917594692280552</v>
      </c>
      <c r="M53">
        <f t="shared" si="12"/>
        <v>7.1862848900376503E-2</v>
      </c>
      <c r="Q53">
        <v>60</v>
      </c>
      <c r="R53">
        <v>2.1</v>
      </c>
      <c r="S53" s="3">
        <f t="shared" si="13"/>
        <v>0.5</v>
      </c>
      <c r="T53">
        <f t="shared" si="17"/>
        <v>1.1631508098056809</v>
      </c>
      <c r="U53">
        <f t="shared" si="14"/>
        <v>7.1862848900376503E-2</v>
      </c>
    </row>
    <row r="56" spans="1:22" ht="18" x14ac:dyDescent="0.35">
      <c r="A56" t="s">
        <v>6</v>
      </c>
      <c r="B56" t="s">
        <v>7</v>
      </c>
      <c r="C56" t="s">
        <v>8</v>
      </c>
      <c r="D56" s="4" t="s">
        <v>38</v>
      </c>
      <c r="I56" t="s">
        <v>6</v>
      </c>
      <c r="J56" t="s">
        <v>7</v>
      </c>
      <c r="K56" t="s">
        <v>8</v>
      </c>
      <c r="L56" s="4" t="s">
        <v>38</v>
      </c>
      <c r="Q56" t="s">
        <v>6</v>
      </c>
      <c r="R56" t="s">
        <v>7</v>
      </c>
      <c r="S56" t="s">
        <v>8</v>
      </c>
      <c r="T56" s="4" t="s">
        <v>38</v>
      </c>
    </row>
    <row r="57" spans="1:22" x14ac:dyDescent="0.25">
      <c r="A57">
        <f>SLOPE(D49:D53,A49:A53)</f>
        <v>1.6090357858204608E-3</v>
      </c>
      <c r="B57">
        <f>INTERCEPT(D49:D53,A49:A53)</f>
        <v>1.114879736231067</v>
      </c>
      <c r="C57">
        <f>A57/-B48</f>
        <v>-7.6620751705736229E-4</v>
      </c>
      <c r="D57">
        <f>((B57*B44)/(C57*B41))</f>
        <v>-5.6241165509868046E-2</v>
      </c>
      <c r="I57">
        <f>SLOPE(L49:L53,I49:I53)</f>
        <v>-2.3272318817102347E-3</v>
      </c>
      <c r="J57">
        <f>INTERCEPT(L49:L53,I49:I53)</f>
        <v>1.7244890903556314</v>
      </c>
      <c r="K57">
        <f>I57/-J48</f>
        <v>1.1082056579572546E-3</v>
      </c>
      <c r="L57">
        <f>((J57*J44)/(K57*J41))</f>
        <v>9.0565925555087232E-2</v>
      </c>
      <c r="Q57">
        <f>SLOPE(T49:T53,Q49:Q53)</f>
        <v>1.0933412784121729E-2</v>
      </c>
      <c r="R57">
        <f>INTERCEPT(T49:T53,Q49:Q53)</f>
        <v>0.62065331201063489</v>
      </c>
      <c r="S57">
        <f>Q57/-R48</f>
        <v>-5.2063870400579663E-3</v>
      </c>
      <c r="T57">
        <f>((R57*R44)/(S57*R41))</f>
        <v>-1.384961709066773E-2</v>
      </c>
    </row>
    <row r="70" spans="1:22" x14ac:dyDescent="0.25">
      <c r="A70" t="s">
        <v>21</v>
      </c>
      <c r="B70">
        <v>4501.7</v>
      </c>
      <c r="C70" t="s">
        <v>22</v>
      </c>
      <c r="I70" t="s">
        <v>21</v>
      </c>
      <c r="J70">
        <v>4501.7</v>
      </c>
      <c r="K70" t="s">
        <v>22</v>
      </c>
      <c r="Q70" t="s">
        <v>21</v>
      </c>
      <c r="R70">
        <v>4501.7</v>
      </c>
      <c r="S70" t="s">
        <v>22</v>
      </c>
    </row>
    <row r="72" spans="1:22" x14ac:dyDescent="0.25">
      <c r="A72" s="28">
        <v>8.5</v>
      </c>
      <c r="B72" s="28"/>
      <c r="C72" s="28"/>
      <c r="D72" s="28"/>
      <c r="E72" s="28"/>
      <c r="F72" s="28"/>
      <c r="I72" s="28">
        <v>8.5</v>
      </c>
      <c r="J72" s="28"/>
      <c r="K72" s="28"/>
      <c r="L72" s="28"/>
      <c r="M72" s="28"/>
      <c r="N72" s="28"/>
      <c r="Q72" s="28">
        <v>8.5</v>
      </c>
      <c r="R72" s="28"/>
      <c r="S72" s="28"/>
      <c r="T72" s="28"/>
      <c r="U72" s="28"/>
      <c r="V72" s="28"/>
    </row>
    <row r="73" spans="1:22" x14ac:dyDescent="0.25">
      <c r="A73" t="s">
        <v>37</v>
      </c>
      <c r="B73">
        <v>0.17399999999999999</v>
      </c>
      <c r="C73" s="7" t="s">
        <v>25</v>
      </c>
      <c r="E73" s="2"/>
      <c r="I73" t="s">
        <v>37</v>
      </c>
      <c r="J73">
        <v>0.26200000000000001</v>
      </c>
      <c r="K73" s="7" t="s">
        <v>27</v>
      </c>
      <c r="M73" s="2"/>
      <c r="Q73" t="s">
        <v>37</v>
      </c>
      <c r="R73">
        <v>0.52300000000000002</v>
      </c>
      <c r="S73" s="7" t="s">
        <v>29</v>
      </c>
      <c r="U73" s="2"/>
    </row>
    <row r="74" spans="1:22" x14ac:dyDescent="0.25">
      <c r="C74" s="7" t="s">
        <v>26</v>
      </c>
      <c r="E74" s="2"/>
      <c r="K74" s="7" t="s">
        <v>28</v>
      </c>
      <c r="M74" s="2"/>
      <c r="S74" s="7" t="s">
        <v>30</v>
      </c>
      <c r="U74" s="2"/>
    </row>
    <row r="75" spans="1:22" x14ac:dyDescent="0.25">
      <c r="D75" t="s">
        <v>4</v>
      </c>
      <c r="E75" t="s">
        <v>5</v>
      </c>
      <c r="L75" t="s">
        <v>4</v>
      </c>
      <c r="M75" t="s">
        <v>5</v>
      </c>
      <c r="T75" t="s">
        <v>4</v>
      </c>
      <c r="U75" t="s">
        <v>5</v>
      </c>
    </row>
    <row r="76" spans="1:22" ht="18" x14ac:dyDescent="0.35">
      <c r="A76" t="s">
        <v>0</v>
      </c>
      <c r="B76" t="s">
        <v>1</v>
      </c>
      <c r="C76" t="s">
        <v>2</v>
      </c>
      <c r="D76" t="s">
        <v>31</v>
      </c>
      <c r="E76" t="s">
        <v>31</v>
      </c>
      <c r="F76" t="s">
        <v>32</v>
      </c>
      <c r="I76" t="s">
        <v>0</v>
      </c>
      <c r="J76" t="s">
        <v>1</v>
      </c>
      <c r="K76" t="s">
        <v>2</v>
      </c>
      <c r="L76" t="s">
        <v>31</v>
      </c>
      <c r="M76" t="s">
        <v>31</v>
      </c>
      <c r="N76" t="s">
        <v>32</v>
      </c>
      <c r="Q76" t="s">
        <v>0</v>
      </c>
      <c r="R76" t="s">
        <v>1</v>
      </c>
      <c r="S76" t="s">
        <v>2</v>
      </c>
      <c r="T76" t="s">
        <v>31</v>
      </c>
      <c r="U76" t="s">
        <v>31</v>
      </c>
      <c r="V76" t="s">
        <v>32</v>
      </c>
    </row>
    <row r="77" spans="1:22" ht="18" x14ac:dyDescent="0.35">
      <c r="A77">
        <v>10</v>
      </c>
      <c r="B77">
        <v>2.1</v>
      </c>
      <c r="C77" s="3">
        <f>H5</f>
        <v>0.53333333333333333</v>
      </c>
      <c r="D77">
        <f>LN((B77/C77)-1)</f>
        <v>1.0775588794702773</v>
      </c>
      <c r="E77">
        <f>(($C$29*A77)-($C$29*$D$29))</f>
        <v>1.1938230604468936E-2</v>
      </c>
      <c r="F77" t="s">
        <v>33</v>
      </c>
      <c r="I77">
        <v>10</v>
      </c>
      <c r="J77">
        <v>2.1</v>
      </c>
      <c r="K77" s="3">
        <f>I5</f>
        <v>0.53333333333333333</v>
      </c>
      <c r="L77">
        <f>LN((J77/K77)-1)</f>
        <v>1.0775588794702773</v>
      </c>
      <c r="M77">
        <f>(($C$29*I77)-($C$29*$D$29))</f>
        <v>1.1938230604468936E-2</v>
      </c>
      <c r="N77" t="s">
        <v>33</v>
      </c>
      <c r="Q77">
        <v>10</v>
      </c>
      <c r="R77">
        <v>2.1</v>
      </c>
      <c r="S77" s="3">
        <f>J5</f>
        <v>0.6333333333333333</v>
      </c>
      <c r="T77">
        <f>LN((R77/S77)-1)</f>
        <v>0.83975065475182076</v>
      </c>
      <c r="U77">
        <f>(($C$29*Q77)-($C$29*$D$29))</f>
        <v>1.1938230604468936E-2</v>
      </c>
      <c r="V77" t="s">
        <v>33</v>
      </c>
    </row>
    <row r="78" spans="1:22" ht="18" x14ac:dyDescent="0.35">
      <c r="A78">
        <v>20</v>
      </c>
      <c r="B78">
        <v>2.1</v>
      </c>
      <c r="C78" s="3">
        <f t="shared" ref="C78:C82" si="18">H6</f>
        <v>0.56666666666666676</v>
      </c>
      <c r="D78">
        <f>LN((B78/C78)-1)</f>
        <v>0.9954280524328788</v>
      </c>
      <c r="E78">
        <f t="shared" ref="E78:E82" si="19">(($C$29*A78)-($C$29*$D$29))</f>
        <v>2.3923154263650451E-2</v>
      </c>
      <c r="F78" s="4" t="s">
        <v>34</v>
      </c>
      <c r="I78">
        <v>20</v>
      </c>
      <c r="J78">
        <v>2.1</v>
      </c>
      <c r="K78" s="3">
        <f t="shared" ref="K78:K82" si="20">I6</f>
        <v>0.5</v>
      </c>
      <c r="L78">
        <f>LN((J78/K78)-1)</f>
        <v>1.1631508098056809</v>
      </c>
      <c r="M78">
        <f t="shared" ref="M78:M82" si="21">(($C$29*I78)-($C$29*$D$29))</f>
        <v>2.3923154263650451E-2</v>
      </c>
      <c r="N78" s="4" t="s">
        <v>34</v>
      </c>
      <c r="Q78">
        <v>20</v>
      </c>
      <c r="R78">
        <v>2.1</v>
      </c>
      <c r="S78" s="3">
        <f t="shared" ref="S78:S82" si="22">J6</f>
        <v>0.5</v>
      </c>
      <c r="T78">
        <f>LN((R78/S78)-1)</f>
        <v>1.1631508098056809</v>
      </c>
      <c r="U78">
        <f t="shared" ref="U78:U82" si="23">(($C$29*Q78)-($C$29*$D$29))</f>
        <v>2.3923154263650451E-2</v>
      </c>
      <c r="V78" s="4" t="s">
        <v>34</v>
      </c>
    </row>
    <row r="79" spans="1:22" x14ac:dyDescent="0.25">
      <c r="A79">
        <v>30</v>
      </c>
      <c r="B79">
        <v>2.1</v>
      </c>
      <c r="C79" s="3">
        <f t="shared" si="18"/>
        <v>0.46666666666666662</v>
      </c>
      <c r="D79">
        <f t="shared" ref="D79:D82" si="24">LN((B79/C79)-1)</f>
        <v>1.2527629684953683</v>
      </c>
      <c r="E79">
        <f t="shared" si="19"/>
        <v>3.5908077922831967E-2</v>
      </c>
      <c r="F79" s="4" t="s">
        <v>35</v>
      </c>
      <c r="I79">
        <v>30</v>
      </c>
      <c r="J79">
        <v>2.1</v>
      </c>
      <c r="K79" s="3">
        <f t="shared" si="20"/>
        <v>0.5</v>
      </c>
      <c r="L79">
        <f t="shared" ref="L79:L82" si="25">LN((J79/K79)-1)</f>
        <v>1.1631508098056809</v>
      </c>
      <c r="M79">
        <f t="shared" si="21"/>
        <v>3.5908077922831967E-2</v>
      </c>
      <c r="N79" s="4" t="s">
        <v>35</v>
      </c>
      <c r="Q79">
        <v>30</v>
      </c>
      <c r="R79">
        <v>2.1</v>
      </c>
      <c r="S79" s="3">
        <f t="shared" si="22"/>
        <v>0.56666666666666676</v>
      </c>
      <c r="T79">
        <f t="shared" ref="T79:T82" si="26">LN((R79/S79)-1)</f>
        <v>0.9954280524328788</v>
      </c>
      <c r="U79">
        <f t="shared" si="23"/>
        <v>3.5908077922831967E-2</v>
      </c>
      <c r="V79" s="4" t="s">
        <v>35</v>
      </c>
    </row>
    <row r="80" spans="1:22" x14ac:dyDescent="0.25">
      <c r="A80">
        <v>40</v>
      </c>
      <c r="B80">
        <v>2.1</v>
      </c>
      <c r="C80" s="3">
        <f t="shared" si="18"/>
        <v>0.33333333333333331</v>
      </c>
      <c r="D80">
        <f t="shared" si="24"/>
        <v>1.6677068205580763</v>
      </c>
      <c r="E80">
        <f t="shared" si="19"/>
        <v>4.7893001582013484E-2</v>
      </c>
      <c r="I80">
        <v>40</v>
      </c>
      <c r="J80">
        <v>2.1</v>
      </c>
      <c r="K80" s="3">
        <f t="shared" si="20"/>
        <v>0.5</v>
      </c>
      <c r="L80">
        <f t="shared" si="25"/>
        <v>1.1631508098056809</v>
      </c>
      <c r="M80">
        <f t="shared" si="21"/>
        <v>4.7893001582013484E-2</v>
      </c>
      <c r="Q80">
        <v>40</v>
      </c>
      <c r="R80">
        <v>2.1</v>
      </c>
      <c r="S80" s="3">
        <f t="shared" si="22"/>
        <v>0.56666666666666676</v>
      </c>
      <c r="T80">
        <f t="shared" si="26"/>
        <v>0.9954280524328788</v>
      </c>
      <c r="U80">
        <f t="shared" si="23"/>
        <v>4.7893001582013484E-2</v>
      </c>
    </row>
    <row r="81" spans="1:22" ht="18" x14ac:dyDescent="0.35">
      <c r="A81">
        <v>50</v>
      </c>
      <c r="B81">
        <v>2.1</v>
      </c>
      <c r="C81" s="3">
        <f t="shared" si="18"/>
        <v>0.43333333333333335</v>
      </c>
      <c r="D81">
        <f t="shared" si="24"/>
        <v>1.3470736479666092</v>
      </c>
      <c r="E81">
        <f t="shared" si="19"/>
        <v>5.9877925241195E-2</v>
      </c>
      <c r="F81" t="s">
        <v>36</v>
      </c>
      <c r="I81">
        <v>50</v>
      </c>
      <c r="J81">
        <v>2.1</v>
      </c>
      <c r="K81" s="3">
        <f t="shared" si="20"/>
        <v>0.46666666666666662</v>
      </c>
      <c r="L81">
        <f t="shared" si="25"/>
        <v>1.2527629684953683</v>
      </c>
      <c r="M81">
        <f t="shared" si="21"/>
        <v>5.9877925241195E-2</v>
      </c>
      <c r="N81" t="s">
        <v>36</v>
      </c>
      <c r="Q81">
        <v>50</v>
      </c>
      <c r="R81">
        <v>2.1</v>
      </c>
      <c r="S81" s="3">
        <f t="shared" si="22"/>
        <v>0.6333333333333333</v>
      </c>
      <c r="T81">
        <f t="shared" si="26"/>
        <v>0.83975065475182076</v>
      </c>
      <c r="U81">
        <f t="shared" si="23"/>
        <v>5.9877925241195E-2</v>
      </c>
      <c r="V81" t="s">
        <v>36</v>
      </c>
    </row>
    <row r="82" spans="1:22" x14ac:dyDescent="0.25">
      <c r="A82">
        <v>60</v>
      </c>
      <c r="B82">
        <v>2.1</v>
      </c>
      <c r="C82" s="3">
        <f t="shared" si="18"/>
        <v>0.53333333333333333</v>
      </c>
      <c r="D82">
        <f t="shared" si="24"/>
        <v>1.0775588794702773</v>
      </c>
      <c r="E82">
        <f t="shared" si="19"/>
        <v>7.1862848900376503E-2</v>
      </c>
      <c r="I82">
        <v>60</v>
      </c>
      <c r="J82">
        <v>2.1</v>
      </c>
      <c r="K82" s="3">
        <f t="shared" si="20"/>
        <v>0.53333333333333333</v>
      </c>
      <c r="L82">
        <f t="shared" si="25"/>
        <v>1.0775588794702773</v>
      </c>
      <c r="M82">
        <f t="shared" si="21"/>
        <v>7.1862848900376503E-2</v>
      </c>
      <c r="Q82">
        <v>60</v>
      </c>
      <c r="R82">
        <v>2.1</v>
      </c>
      <c r="S82" s="3">
        <f t="shared" si="22"/>
        <v>0.6</v>
      </c>
      <c r="T82">
        <f t="shared" si="26"/>
        <v>0.91629073187415522</v>
      </c>
      <c r="U82">
        <f t="shared" si="23"/>
        <v>7.1862848900376503E-2</v>
      </c>
    </row>
    <row r="85" spans="1:22" ht="18" x14ac:dyDescent="0.35">
      <c r="A85" t="s">
        <v>6</v>
      </c>
      <c r="B85" t="s">
        <v>7</v>
      </c>
      <c r="C85" t="s">
        <v>8</v>
      </c>
      <c r="D85" s="4" t="s">
        <v>38</v>
      </c>
      <c r="I85" t="s">
        <v>6</v>
      </c>
      <c r="J85" t="s">
        <v>7</v>
      </c>
      <c r="K85" t="s">
        <v>8</v>
      </c>
      <c r="L85" s="4" t="s">
        <v>38</v>
      </c>
      <c r="Q85" t="s">
        <v>6</v>
      </c>
      <c r="R85" t="s">
        <v>7</v>
      </c>
      <c r="S85" t="s">
        <v>8</v>
      </c>
      <c r="T85" s="4" t="s">
        <v>38</v>
      </c>
    </row>
    <row r="86" spans="1:22" x14ac:dyDescent="0.25">
      <c r="A86">
        <f>SLOPE(D78:D82,A78:A82)</f>
        <v>2.5857233354603794E-3</v>
      </c>
      <c r="B86">
        <f>INTERCEPT(D78:D82,A78:A82)</f>
        <v>1.1646771403662268</v>
      </c>
      <c r="C86">
        <f>A86/-B77</f>
        <v>-1.2312968264097043E-3</v>
      </c>
      <c r="D86">
        <f>((B86*B73)/(C86*B70))</f>
        <v>-3.6560783156793793E-2</v>
      </c>
      <c r="I86">
        <f>SLOPE(L78:L82,I78:I82)</f>
        <v>-8.1571701981119737E-4</v>
      </c>
      <c r="J86">
        <f>INTERCEPT(L78:L82,I78:I82)</f>
        <v>1.1965835362689854</v>
      </c>
      <c r="K86">
        <f>I86/-J77</f>
        <v>3.8843667610057015E-4</v>
      </c>
      <c r="L86">
        <f>((J86*J73)/(K86*J70))</f>
        <v>0.17928647795421562</v>
      </c>
      <c r="Q86">
        <f>SLOPE(T78:T82,Q78:Q82)</f>
        <v>-6.4939755354410933E-3</v>
      </c>
      <c r="R86">
        <f>INTERCEPT(T78:T82,Q78:Q82)</f>
        <v>1.2417686816771267</v>
      </c>
      <c r="S86">
        <f>Q86/-R77</f>
        <v>3.0923693025909967E-3</v>
      </c>
      <c r="T86">
        <f>((R86*R73)/(S86*R70))</f>
        <v>4.665245345321322E-2</v>
      </c>
    </row>
  </sheetData>
  <mergeCells count="13">
    <mergeCell ref="Q15:V15"/>
    <mergeCell ref="A43:F43"/>
    <mergeCell ref="I43:N43"/>
    <mergeCell ref="Q43:V43"/>
    <mergeCell ref="A72:F72"/>
    <mergeCell ref="I72:N72"/>
    <mergeCell ref="Q72:V72"/>
    <mergeCell ref="A1:J1"/>
    <mergeCell ref="B2:D2"/>
    <mergeCell ref="E2:G2"/>
    <mergeCell ref="H2:J2"/>
    <mergeCell ref="A15:F15"/>
    <mergeCell ref="I15:N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A40" workbookViewId="0">
      <selection activeCell="G32" sqref="G32"/>
    </sheetView>
  </sheetViews>
  <sheetFormatPr defaultRowHeight="15" x14ac:dyDescent="0.25"/>
  <cols>
    <col min="1" max="1" width="12.5703125" bestFit="1" customWidth="1"/>
    <col min="2" max="2" width="13.140625" bestFit="1" customWidth="1"/>
    <col min="3" max="3" width="13.5703125" bestFit="1" customWidth="1"/>
    <col min="4" max="4" width="14.140625" customWidth="1"/>
    <col min="5" max="5" width="13.140625" bestFit="1" customWidth="1"/>
    <col min="6" max="6" width="12.5703125" bestFit="1" customWidth="1"/>
    <col min="7" max="7" width="12.28515625" bestFit="1" customWidth="1"/>
    <col min="8" max="8" width="13.140625" bestFit="1" customWidth="1"/>
    <col min="9" max="9" width="12.5703125" bestFit="1" customWidth="1"/>
    <col min="10" max="10" width="12.28515625" bestFit="1" customWidth="1"/>
    <col min="14" max="14" width="22.85546875" bestFit="1" customWidth="1"/>
  </cols>
  <sheetData>
    <row r="1" spans="1:19" x14ac:dyDescent="0.25">
      <c r="A1" s="28" t="str">
        <f>'[1]Iron Graphs'!A34</f>
        <v>Iron (mg/l)</v>
      </c>
      <c r="B1" s="28"/>
      <c r="C1" s="28"/>
      <c r="D1" s="28"/>
      <c r="E1" s="28"/>
      <c r="F1" s="28"/>
      <c r="G1" s="28"/>
      <c r="H1" s="28"/>
      <c r="I1" s="28"/>
      <c r="J1" s="28"/>
    </row>
    <row r="2" spans="1:19" x14ac:dyDescent="0.25">
      <c r="A2" s="1" t="str">
        <f>'[1]Iron Graphs'!A35</f>
        <v>Time (min)</v>
      </c>
      <c r="B2" s="28">
        <f>'[1]Iron Graphs'!B35</f>
        <v>6.5</v>
      </c>
      <c r="C2" s="28"/>
      <c r="D2" s="28"/>
      <c r="E2" s="28">
        <f>'[1]Iron Graphs'!E35</f>
        <v>7.5</v>
      </c>
      <c r="F2" s="28"/>
      <c r="G2" s="28"/>
      <c r="H2" s="28">
        <f>'[1]Iron Graphs'!H35</f>
        <v>8.5</v>
      </c>
      <c r="I2" s="28"/>
      <c r="J2" s="28"/>
    </row>
    <row r="3" spans="1:19" x14ac:dyDescent="0.25">
      <c r="A3" s="1"/>
      <c r="B3" s="1" t="str">
        <f>'[1]Iron Graphs'!B36</f>
        <v>0,174 (l/min)</v>
      </c>
      <c r="C3" s="1" t="str">
        <f>'[1]Iron Graphs'!C36</f>
        <v>0,262 (l/min)</v>
      </c>
      <c r="D3" s="1" t="str">
        <f>'[1]Iron Graphs'!D36</f>
        <v>0,523 (l/min)</v>
      </c>
      <c r="E3" s="1" t="str">
        <f>'[1]Iron Graphs'!E36</f>
        <v>0,174 (l/min)</v>
      </c>
      <c r="F3" s="1" t="str">
        <f>'[1]Iron Graphs'!F36</f>
        <v>0,262 (l/min)</v>
      </c>
      <c r="G3" s="1" t="str">
        <f>'[1]Iron Graphs'!G36</f>
        <v>0,523 (l/min)</v>
      </c>
      <c r="H3" s="1" t="str">
        <f>'[1]Iron Graphs'!H36</f>
        <v>0,174 (l/min)</v>
      </c>
      <c r="I3" s="1" t="str">
        <f>'[1]Iron Graphs'!I36</f>
        <v>0,262 (l/min)</v>
      </c>
      <c r="J3" s="1" t="str">
        <f>'[1]Iron Graphs'!J36</f>
        <v>0,523 (l/min)</v>
      </c>
    </row>
    <row r="4" spans="1:19" x14ac:dyDescent="0.25">
      <c r="A4" s="1"/>
      <c r="B4" s="6" t="str">
        <f>'[1]Iron Graphs'!B37</f>
        <v>1,67 (ml/min)</v>
      </c>
      <c r="C4" s="6" t="str">
        <f>'[1]Iron Graphs'!C37</f>
        <v>2,52(ml/min)</v>
      </c>
      <c r="D4" s="6" t="str">
        <f>'[1]Iron Graphs'!D37</f>
        <v>5,0 (ml/min)</v>
      </c>
      <c r="E4" s="6" t="str">
        <f>'[1]Iron Graphs'!E37</f>
        <v>1,67 (ml/min)</v>
      </c>
      <c r="F4" s="6" t="str">
        <f>'[1]Iron Graphs'!F37</f>
        <v>2,52(ml/min)</v>
      </c>
      <c r="G4" s="6" t="str">
        <f>'[1]Iron Graphs'!G37</f>
        <v>5,0 (ml/min)</v>
      </c>
      <c r="H4" s="6" t="str">
        <f>'[1]Iron Graphs'!H37</f>
        <v>1,67 (ml/min)</v>
      </c>
      <c r="I4" s="6" t="str">
        <f>'[1]Iron Graphs'!I37</f>
        <v>2,52(ml/min)</v>
      </c>
      <c r="J4" s="6" t="str">
        <f>'[1]Iron Graphs'!J37</f>
        <v>5,0 (ml/min)</v>
      </c>
    </row>
    <row r="5" spans="1:19" x14ac:dyDescent="0.25">
      <c r="A5">
        <f>'[1]Iron Graphs'!A38</f>
        <v>10</v>
      </c>
      <c r="B5" s="2">
        <f>'[1]Iron Graphs'!B38</f>
        <v>2.5</v>
      </c>
      <c r="C5" s="2">
        <f>'[1]Iron Graphs'!C38</f>
        <v>2.8</v>
      </c>
      <c r="D5" s="2">
        <f>'[1]Iron Graphs'!D38</f>
        <v>2.2000000000000002</v>
      </c>
      <c r="E5" s="2">
        <f>'[1]Iron Graphs'!E38</f>
        <v>1.6</v>
      </c>
      <c r="F5" s="2">
        <f>'[1]Iron Graphs'!F38</f>
        <v>1.63</v>
      </c>
      <c r="G5" s="2">
        <f>'[1]Iron Graphs'!G38</f>
        <v>1.6</v>
      </c>
      <c r="H5" s="2">
        <f>'[1]Iron Graphs'!H38</f>
        <v>1.8966666666666665</v>
      </c>
      <c r="I5" s="2">
        <f>'[1]Iron Graphs'!I38</f>
        <v>1.8</v>
      </c>
      <c r="J5" s="2">
        <f>'[1]Iron Graphs'!J38</f>
        <v>1.8466666666666667</v>
      </c>
    </row>
    <row r="6" spans="1:19" x14ac:dyDescent="0.25">
      <c r="A6">
        <f>'[1]Iron Graphs'!A39</f>
        <v>20</v>
      </c>
      <c r="B6" s="2">
        <f>'[1]Iron Graphs'!B39</f>
        <v>1.24</v>
      </c>
      <c r="C6" s="2">
        <f>'[1]Iron Graphs'!C39</f>
        <v>2.6</v>
      </c>
      <c r="D6" s="2">
        <f>'[1]Iron Graphs'!D39</f>
        <v>2.2000000000000002</v>
      </c>
      <c r="E6" s="2">
        <f>'[1]Iron Graphs'!E39</f>
        <v>1.1100000000000001</v>
      </c>
      <c r="F6" s="2">
        <f>'[1]Iron Graphs'!F39</f>
        <v>1.2</v>
      </c>
      <c r="G6" s="2">
        <f>'[1]Iron Graphs'!G39</f>
        <v>1.5</v>
      </c>
      <c r="H6" s="2">
        <f>'[1]Iron Graphs'!H39</f>
        <v>0.90666666666666673</v>
      </c>
      <c r="I6" s="2">
        <f>'[1]Iron Graphs'!I39</f>
        <v>1.2766666666666666</v>
      </c>
      <c r="J6" s="2">
        <f>'[1]Iron Graphs'!J39</f>
        <v>1.1399999999999999</v>
      </c>
    </row>
    <row r="7" spans="1:19" x14ac:dyDescent="0.25">
      <c r="A7">
        <f>'[1]Iron Graphs'!A40</f>
        <v>30</v>
      </c>
      <c r="B7" s="2">
        <f>'[1]Iron Graphs'!B40</f>
        <v>1.07</v>
      </c>
      <c r="C7" s="2">
        <f>'[1]Iron Graphs'!C40</f>
        <v>2.38</v>
      </c>
      <c r="D7" s="2">
        <f>'[1]Iron Graphs'!D40</f>
        <v>2.29</v>
      </c>
      <c r="E7" s="2">
        <f>'[1]Iron Graphs'!E40</f>
        <v>0.54</v>
      </c>
      <c r="F7" s="2">
        <f>'[1]Iron Graphs'!F40</f>
        <v>0.89</v>
      </c>
      <c r="G7" s="2">
        <f>'[1]Iron Graphs'!G40</f>
        <v>1.24</v>
      </c>
      <c r="H7" s="2">
        <f>'[1]Iron Graphs'!H40</f>
        <v>0.34999999999999992</v>
      </c>
      <c r="I7" s="2">
        <f>'[1]Iron Graphs'!I40</f>
        <v>0.93666666666666665</v>
      </c>
      <c r="J7" s="2">
        <f>'[1]Iron Graphs'!J40</f>
        <v>1.01</v>
      </c>
    </row>
    <row r="8" spans="1:19" x14ac:dyDescent="0.25">
      <c r="A8">
        <f>'[1]Iron Graphs'!A41</f>
        <v>40</v>
      </c>
      <c r="B8" s="2">
        <f>'[1]Iron Graphs'!B41</f>
        <v>1.1000000000000001</v>
      </c>
      <c r="C8" s="2">
        <f>'[1]Iron Graphs'!C41</f>
        <v>1.8</v>
      </c>
      <c r="D8" s="2">
        <f>'[1]Iron Graphs'!D41</f>
        <v>2.2000000000000002</v>
      </c>
      <c r="E8" s="2">
        <f>'[1]Iron Graphs'!E41</f>
        <v>0.44</v>
      </c>
      <c r="F8" s="2">
        <f>'[1]Iron Graphs'!F41</f>
        <v>0.9</v>
      </c>
      <c r="G8" s="2">
        <f>'[1]Iron Graphs'!G41</f>
        <v>1.2</v>
      </c>
      <c r="H8" s="2">
        <f>'[1]Iron Graphs'!H41</f>
        <v>0.19666666666666668</v>
      </c>
      <c r="I8" s="2">
        <f>'[1]Iron Graphs'!I41</f>
        <v>0.71333333333333326</v>
      </c>
      <c r="J8" s="2">
        <f>'[1]Iron Graphs'!J41</f>
        <v>0.65666666666666673</v>
      </c>
    </row>
    <row r="9" spans="1:19" x14ac:dyDescent="0.25">
      <c r="A9">
        <f>'[1]Iron Graphs'!A42</f>
        <v>50</v>
      </c>
      <c r="B9" s="2">
        <f>'[1]Iron Graphs'!B42</f>
        <v>1.1499999999999999</v>
      </c>
      <c r="C9" s="2">
        <f>'[1]Iron Graphs'!C42</f>
        <v>2</v>
      </c>
      <c r="D9" s="2">
        <f>'[1]Iron Graphs'!D42</f>
        <v>2.4</v>
      </c>
      <c r="E9" s="2">
        <f>'[1]Iron Graphs'!E42</f>
        <v>0.45</v>
      </c>
      <c r="F9" s="2">
        <f>'[1]Iron Graphs'!F42</f>
        <v>0.9</v>
      </c>
      <c r="G9" s="2">
        <f>'[1]Iron Graphs'!G42</f>
        <v>1.1000000000000001</v>
      </c>
      <c r="H9" s="2">
        <f>'[1]Iron Graphs'!H42</f>
        <v>0.18333333333333335</v>
      </c>
      <c r="I9" s="2">
        <f>'[1]Iron Graphs'!I42</f>
        <v>0.57999999999999996</v>
      </c>
      <c r="J9" s="2">
        <f>'[1]Iron Graphs'!J42</f>
        <v>0.58333333333333337</v>
      </c>
    </row>
    <row r="10" spans="1:19" x14ac:dyDescent="0.25">
      <c r="A10">
        <f>'[1]Iron Graphs'!A43</f>
        <v>60</v>
      </c>
      <c r="B10" s="2">
        <f>'[1]Iron Graphs'!B43</f>
        <v>1.3</v>
      </c>
      <c r="C10" s="2">
        <f>'[1]Iron Graphs'!C43</f>
        <v>1.71</v>
      </c>
      <c r="D10" s="2">
        <f>'[1]Iron Graphs'!D43</f>
        <v>2.56</v>
      </c>
      <c r="E10" s="2">
        <f>'[1]Iron Graphs'!E43</f>
        <v>0.42</v>
      </c>
      <c r="F10" s="2">
        <f>'[1]Iron Graphs'!F43</f>
        <v>0.89</v>
      </c>
      <c r="G10" s="2">
        <f>'[1]Iron Graphs'!G43</f>
        <v>1.1100000000000001</v>
      </c>
      <c r="H10" s="2">
        <f>'[1]Iron Graphs'!H43</f>
        <v>0.1466666666666667</v>
      </c>
      <c r="I10" s="2">
        <f>'[1]Iron Graphs'!I43</f>
        <v>0.54333333333333333</v>
      </c>
      <c r="J10" s="2">
        <f>'[1]Iron Graphs'!J43</f>
        <v>0.60666666666666658</v>
      </c>
    </row>
    <row r="12" spans="1:19" x14ac:dyDescent="0.25">
      <c r="A12" s="1" t="s">
        <v>48</v>
      </c>
      <c r="B12" s="1" t="s">
        <v>40</v>
      </c>
      <c r="C12" s="1" t="s">
        <v>41</v>
      </c>
      <c r="D12" s="1" t="s">
        <v>43</v>
      </c>
      <c r="I12" s="1" t="s">
        <v>48</v>
      </c>
      <c r="J12" s="1" t="s">
        <v>40</v>
      </c>
      <c r="K12" s="1" t="s">
        <v>41</v>
      </c>
      <c r="L12" s="1" t="s">
        <v>43</v>
      </c>
      <c r="P12" s="1" t="s">
        <v>48</v>
      </c>
      <c r="Q12" s="1" t="s">
        <v>40</v>
      </c>
      <c r="R12" s="1" t="s">
        <v>41</v>
      </c>
      <c r="S12" s="1" t="s">
        <v>43</v>
      </c>
    </row>
    <row r="13" spans="1:19" x14ac:dyDescent="0.25">
      <c r="A13" s="1" t="s">
        <v>42</v>
      </c>
      <c r="B13">
        <f>B20/1000</f>
        <v>1.74E-4</v>
      </c>
      <c r="C13">
        <f>B13/B18</f>
        <v>1.6893203883495144E-2</v>
      </c>
      <c r="D13">
        <f>C13*100</f>
        <v>1.6893203883495145</v>
      </c>
      <c r="I13" s="1" t="s">
        <v>42</v>
      </c>
      <c r="J13">
        <f>J20/1000</f>
        <v>2.6200000000000003E-4</v>
      </c>
      <c r="K13">
        <f>J13/J18</f>
        <v>2.5436893203883499E-2</v>
      </c>
      <c r="L13">
        <f>K13*100</f>
        <v>2.5436893203883497</v>
      </c>
      <c r="P13" s="1" t="s">
        <v>42</v>
      </c>
      <c r="Q13">
        <f>Q20/1000</f>
        <v>5.2300000000000003E-4</v>
      </c>
      <c r="R13">
        <f>Q13/Q18</f>
        <v>5.0776699029126217E-2</v>
      </c>
      <c r="S13">
        <f>R13*100</f>
        <v>5.0776699029126213</v>
      </c>
    </row>
    <row r="14" spans="1:19" x14ac:dyDescent="0.25">
      <c r="A14" s="1" t="s">
        <v>49</v>
      </c>
      <c r="B14" s="5" t="s">
        <v>44</v>
      </c>
      <c r="C14" s="5" t="s">
        <v>45</v>
      </c>
      <c r="D14" s="5" t="s">
        <v>46</v>
      </c>
      <c r="I14" s="1" t="s">
        <v>49</v>
      </c>
      <c r="J14" s="5" t="s">
        <v>44</v>
      </c>
      <c r="K14" s="5" t="s">
        <v>45</v>
      </c>
      <c r="L14" s="5" t="s">
        <v>46</v>
      </c>
      <c r="P14" s="1" t="s">
        <v>49</v>
      </c>
      <c r="Q14" s="5" t="s">
        <v>44</v>
      </c>
      <c r="R14" s="5" t="s">
        <v>45</v>
      </c>
      <c r="S14" s="5" t="s">
        <v>46</v>
      </c>
    </row>
    <row r="16" spans="1:19" x14ac:dyDescent="0.25">
      <c r="A16" t="s">
        <v>21</v>
      </c>
      <c r="B16">
        <v>4501.7</v>
      </c>
      <c r="C16" t="s">
        <v>22</v>
      </c>
      <c r="I16" t="s">
        <v>21</v>
      </c>
      <c r="J16">
        <v>4501.7</v>
      </c>
      <c r="K16" t="s">
        <v>22</v>
      </c>
      <c r="P16" t="s">
        <v>21</v>
      </c>
      <c r="Q16">
        <v>4501.7</v>
      </c>
      <c r="R16" t="s">
        <v>22</v>
      </c>
    </row>
    <row r="17" spans="1:21" x14ac:dyDescent="0.25">
      <c r="A17" t="s">
        <v>23</v>
      </c>
      <c r="B17">
        <v>5.23</v>
      </c>
      <c r="C17" t="s">
        <v>24</v>
      </c>
      <c r="I17" t="s">
        <v>23</v>
      </c>
      <c r="J17">
        <v>5.23</v>
      </c>
      <c r="K17" t="s">
        <v>24</v>
      </c>
      <c r="P17" t="s">
        <v>23</v>
      </c>
      <c r="Q17">
        <v>5.23</v>
      </c>
      <c r="R17" t="s">
        <v>24</v>
      </c>
    </row>
    <row r="18" spans="1:21" ht="17.25" x14ac:dyDescent="0.25">
      <c r="A18" t="s">
        <v>39</v>
      </c>
      <c r="B18">
        <v>1.03E-2</v>
      </c>
      <c r="E18" s="1"/>
      <c r="I18" t="s">
        <v>39</v>
      </c>
      <c r="J18">
        <v>1.03E-2</v>
      </c>
      <c r="M18" s="1"/>
      <c r="P18" t="s">
        <v>39</v>
      </c>
      <c r="Q18">
        <v>1.03E-2</v>
      </c>
      <c r="T18" s="1"/>
    </row>
    <row r="19" spans="1:21" x14ac:dyDescent="0.25">
      <c r="A19" s="28">
        <v>6.5</v>
      </c>
      <c r="B19" s="28"/>
      <c r="C19" s="28"/>
      <c r="D19" s="28"/>
      <c r="E19" s="28"/>
      <c r="F19" s="28"/>
      <c r="I19" s="28">
        <v>6.5</v>
      </c>
      <c r="J19" s="28"/>
      <c r="K19" s="28"/>
      <c r="L19" s="28"/>
      <c r="M19" s="28"/>
      <c r="N19" s="28"/>
      <c r="P19" s="28">
        <v>6.5</v>
      </c>
      <c r="Q19" s="28"/>
      <c r="R19" s="28"/>
      <c r="S19" s="28"/>
      <c r="T19" s="28"/>
      <c r="U19" s="28"/>
    </row>
    <row r="20" spans="1:21" x14ac:dyDescent="0.25">
      <c r="A20" t="s">
        <v>37</v>
      </c>
      <c r="B20">
        <v>0.17399999999999999</v>
      </c>
      <c r="C20" s="7" t="s">
        <v>25</v>
      </c>
      <c r="E20" s="2"/>
      <c r="I20" t="s">
        <v>37</v>
      </c>
      <c r="J20">
        <v>0.26200000000000001</v>
      </c>
      <c r="K20" s="7" t="s">
        <v>27</v>
      </c>
      <c r="M20" s="2"/>
      <c r="P20" t="s">
        <v>37</v>
      </c>
      <c r="Q20">
        <v>0.52300000000000002</v>
      </c>
      <c r="R20" s="1" t="s">
        <v>29</v>
      </c>
      <c r="T20" s="2"/>
    </row>
    <row r="21" spans="1:21" x14ac:dyDescent="0.25">
      <c r="C21" s="7" t="s">
        <v>26</v>
      </c>
      <c r="E21" s="2"/>
      <c r="K21" s="7" t="s">
        <v>28</v>
      </c>
      <c r="M21" s="2"/>
      <c r="R21" s="6" t="s">
        <v>30</v>
      </c>
      <c r="T21" s="2"/>
    </row>
    <row r="22" spans="1:21" x14ac:dyDescent="0.25">
      <c r="D22" t="s">
        <v>4</v>
      </c>
      <c r="E22" t="s">
        <v>5</v>
      </c>
      <c r="L22" t="s">
        <v>4</v>
      </c>
      <c r="M22" t="s">
        <v>5</v>
      </c>
      <c r="S22" t="s">
        <v>4</v>
      </c>
      <c r="T22" t="s">
        <v>5</v>
      </c>
    </row>
    <row r="23" spans="1:21" ht="18" x14ac:dyDescent="0.35">
      <c r="A23" t="s">
        <v>0</v>
      </c>
      <c r="B23" t="s">
        <v>1</v>
      </c>
      <c r="C23" t="s">
        <v>2</v>
      </c>
      <c r="D23" t="s">
        <v>47</v>
      </c>
      <c r="F23" t="s">
        <v>50</v>
      </c>
      <c r="I23" t="s">
        <v>0</v>
      </c>
      <c r="J23" t="s">
        <v>1</v>
      </c>
      <c r="K23" t="s">
        <v>2</v>
      </c>
      <c r="L23" t="s">
        <v>47</v>
      </c>
      <c r="N23" t="s">
        <v>50</v>
      </c>
      <c r="P23" t="s">
        <v>0</v>
      </c>
      <c r="Q23" t="s">
        <v>1</v>
      </c>
      <c r="R23" t="s">
        <v>2</v>
      </c>
      <c r="S23" t="s">
        <v>47</v>
      </c>
      <c r="U23" t="s">
        <v>50</v>
      </c>
    </row>
    <row r="24" spans="1:21" ht="18" x14ac:dyDescent="0.35">
      <c r="A24">
        <v>10</v>
      </c>
      <c r="B24">
        <v>2.1</v>
      </c>
      <c r="C24" s="3">
        <f>B5</f>
        <v>2.5</v>
      </c>
      <c r="D24">
        <f>LN(C24/B24)</f>
        <v>0.17435338714477774</v>
      </c>
      <c r="F24" t="s">
        <v>51</v>
      </c>
      <c r="I24">
        <v>10</v>
      </c>
      <c r="J24">
        <v>2.1</v>
      </c>
      <c r="K24" s="3">
        <f>C5</f>
        <v>2.8</v>
      </c>
      <c r="L24">
        <f>LN(K24/J24)</f>
        <v>0.28768207245178085</v>
      </c>
      <c r="N24" t="s">
        <v>51</v>
      </c>
      <c r="P24">
        <v>10</v>
      </c>
      <c r="Q24">
        <v>2.1</v>
      </c>
      <c r="R24" s="3">
        <f>D5</f>
        <v>2.2000000000000002</v>
      </c>
      <c r="S24">
        <f>LN(R24/Q24)</f>
        <v>4.6520015634892907E-2</v>
      </c>
      <c r="U24" t="s">
        <v>51</v>
      </c>
    </row>
    <row r="25" spans="1:21" ht="18" x14ac:dyDescent="0.35">
      <c r="A25">
        <v>20</v>
      </c>
      <c r="B25">
        <v>2.1</v>
      </c>
      <c r="C25" s="3">
        <f t="shared" ref="C25:C29" si="0">B6</f>
        <v>1.24</v>
      </c>
      <c r="D25">
        <f t="shared" ref="D25:D29" si="1">LN(C25/B25)</f>
        <v>-0.52682596511243185</v>
      </c>
      <c r="F25" s="4" t="s">
        <v>54</v>
      </c>
      <c r="I25">
        <v>20</v>
      </c>
      <c r="J25">
        <v>2.1</v>
      </c>
      <c r="K25" s="3">
        <f t="shared" ref="K25:K29" si="2">C6</f>
        <v>2.6</v>
      </c>
      <c r="L25">
        <f t="shared" ref="L25:L26" si="3">LN(K25/J25)</f>
        <v>0.21357410029805909</v>
      </c>
      <c r="N25" s="4" t="s">
        <v>54</v>
      </c>
      <c r="P25">
        <v>20</v>
      </c>
      <c r="Q25">
        <v>2.1</v>
      </c>
      <c r="R25" s="3">
        <f t="shared" ref="R25:R29" si="4">D6</f>
        <v>2.2000000000000002</v>
      </c>
      <c r="S25">
        <f>LN(R25/Q25)</f>
        <v>4.6520015634892907E-2</v>
      </c>
      <c r="U25" s="4" t="s">
        <v>54</v>
      </c>
    </row>
    <row r="26" spans="1:21" x14ac:dyDescent="0.25">
      <c r="A26">
        <v>30</v>
      </c>
      <c r="B26">
        <v>2.1</v>
      </c>
      <c r="C26" s="3">
        <f t="shared" si="0"/>
        <v>1.07</v>
      </c>
      <c r="D26">
        <f t="shared" si="1"/>
        <v>-0.67427869625556258</v>
      </c>
      <c r="F26" s="4" t="s">
        <v>52</v>
      </c>
      <c r="I26">
        <v>30</v>
      </c>
      <c r="J26">
        <v>2.1</v>
      </c>
      <c r="K26" s="3">
        <f t="shared" si="2"/>
        <v>2.38</v>
      </c>
      <c r="L26">
        <f t="shared" si="3"/>
        <v>0.12516314295400599</v>
      </c>
      <c r="N26" s="4" t="s">
        <v>52</v>
      </c>
      <c r="P26">
        <v>30</v>
      </c>
      <c r="Q26">
        <v>2.1</v>
      </c>
      <c r="R26" s="3">
        <f t="shared" si="4"/>
        <v>2.29</v>
      </c>
      <c r="S26">
        <f t="shared" ref="S26" si="5">LN(R26/Q26)</f>
        <v>8.6614472836770873E-2</v>
      </c>
      <c r="U26" s="4" t="s">
        <v>52</v>
      </c>
    </row>
    <row r="27" spans="1:21" x14ac:dyDescent="0.25">
      <c r="A27">
        <v>40</v>
      </c>
      <c r="B27">
        <v>2.1</v>
      </c>
      <c r="C27" s="3">
        <f>B8</f>
        <v>1.1000000000000001</v>
      </c>
      <c r="D27">
        <f>LN(C27/B27)</f>
        <v>-0.64662716492505246</v>
      </c>
      <c r="I27">
        <v>40</v>
      </c>
      <c r="J27">
        <v>2.1</v>
      </c>
      <c r="K27" s="3">
        <f t="shared" si="2"/>
        <v>1.8</v>
      </c>
      <c r="L27">
        <f>LN(K27/J27)</f>
        <v>-0.15415067982725836</v>
      </c>
      <c r="P27">
        <v>40</v>
      </c>
      <c r="Q27">
        <v>2.1</v>
      </c>
      <c r="R27" s="3">
        <f t="shared" si="4"/>
        <v>2.2000000000000002</v>
      </c>
      <c r="S27">
        <f>LN(R27/Q27)</f>
        <v>4.6520015634892907E-2</v>
      </c>
    </row>
    <row r="28" spans="1:21" ht="18" x14ac:dyDescent="0.35">
      <c r="A28">
        <v>50</v>
      </c>
      <c r="B28">
        <v>2.1</v>
      </c>
      <c r="C28" s="3">
        <f t="shared" si="0"/>
        <v>1.1499999999999999</v>
      </c>
      <c r="D28">
        <f t="shared" si="1"/>
        <v>-0.60217540235421874</v>
      </c>
      <c r="F28" t="s">
        <v>53</v>
      </c>
      <c r="I28">
        <v>50</v>
      </c>
      <c r="J28">
        <v>2.1</v>
      </c>
      <c r="K28" s="3">
        <f t="shared" si="2"/>
        <v>2</v>
      </c>
      <c r="L28">
        <f t="shared" ref="L28:L29" si="6">LN(K28/J28)</f>
        <v>-4.8790164169432056E-2</v>
      </c>
      <c r="N28" t="s">
        <v>53</v>
      </c>
      <c r="P28">
        <v>50</v>
      </c>
      <c r="Q28">
        <v>2.1</v>
      </c>
      <c r="R28" s="3">
        <f t="shared" si="4"/>
        <v>2.4</v>
      </c>
      <c r="S28">
        <f t="shared" ref="S28:S29" si="7">LN(R28/Q28)</f>
        <v>0.13353139262452257</v>
      </c>
      <c r="U28" t="s">
        <v>53</v>
      </c>
    </row>
    <row r="29" spans="1:21" x14ac:dyDescent="0.25">
      <c r="A29">
        <v>60</v>
      </c>
      <c r="B29">
        <v>2.1</v>
      </c>
      <c r="C29" s="3">
        <f t="shared" si="0"/>
        <v>1.3</v>
      </c>
      <c r="D29">
        <f t="shared" si="1"/>
        <v>-0.47957308026188622</v>
      </c>
      <c r="I29">
        <v>60</v>
      </c>
      <c r="J29">
        <v>2.1</v>
      </c>
      <c r="K29" s="3">
        <f t="shared" si="2"/>
        <v>1.71</v>
      </c>
      <c r="L29">
        <f t="shared" si="6"/>
        <v>-0.20544397421480884</v>
      </c>
      <c r="P29">
        <v>60</v>
      </c>
      <c r="Q29">
        <v>2.1</v>
      </c>
      <c r="R29" s="3">
        <f t="shared" si="4"/>
        <v>2.56</v>
      </c>
      <c r="S29">
        <f t="shared" si="7"/>
        <v>0.19806991376209371</v>
      </c>
    </row>
    <row r="32" spans="1:21" ht="18" x14ac:dyDescent="0.35">
      <c r="A32" t="s">
        <v>6</v>
      </c>
      <c r="B32" t="s">
        <v>7</v>
      </c>
      <c r="C32" t="s">
        <v>8</v>
      </c>
      <c r="D32" s="4" t="s">
        <v>55</v>
      </c>
      <c r="I32" t="s">
        <v>6</v>
      </c>
      <c r="J32" t="s">
        <v>7</v>
      </c>
      <c r="K32" t="s">
        <v>8</v>
      </c>
      <c r="L32" s="4" t="s">
        <v>55</v>
      </c>
      <c r="P32" t="s">
        <v>6</v>
      </c>
      <c r="Q32" t="s">
        <v>7</v>
      </c>
      <c r="R32" t="s">
        <v>8</v>
      </c>
      <c r="S32" s="4" t="s">
        <v>55</v>
      </c>
    </row>
    <row r="33" spans="1:19" x14ac:dyDescent="0.25">
      <c r="A33">
        <f>SLOPE(D25:D29,A25:A29)</f>
        <v>1.6660906360243513E-3</v>
      </c>
      <c r="B33">
        <f>INTERCEPT(D25:D29,A25:A29)</f>
        <v>-0.65253968722280442</v>
      </c>
      <c r="C33">
        <f>A33/B24</f>
        <v>7.9337649334492919E-4</v>
      </c>
      <c r="D33">
        <f>((B33*D13)/(C33*50.8))</f>
        <v>-27.351170257641545</v>
      </c>
      <c r="I33">
        <f>SLOPE(L25:L29,I25:I29)</f>
        <v>-1.0119894561491741E-2</v>
      </c>
      <c r="J33">
        <f>INTERCEPT(L25:L29,I25:I29)</f>
        <v>0.3908662674677828</v>
      </c>
      <c r="K33">
        <f>I33/J24</f>
        <v>-4.818997410234162E-3</v>
      </c>
      <c r="L33">
        <f>((J33*L13)/(K33*50.8))</f>
        <v>-4.0613634210844038</v>
      </c>
      <c r="P33">
        <f>SLOPE(S25:S29,P25:P29)</f>
        <v>3.5001671604215326E-3</v>
      </c>
      <c r="Q33">
        <f>INTERCEPT(S25:S29,P25:P29)</f>
        <v>-3.7755524318226708E-2</v>
      </c>
      <c r="R33">
        <f>P33/Q24</f>
        <v>1.6667462668673964E-3</v>
      </c>
      <c r="S33">
        <f>((Q33*S13)/(R33*50.8))</f>
        <v>-2.2641842579487061</v>
      </c>
    </row>
    <row r="44" spans="1:19" x14ac:dyDescent="0.25">
      <c r="A44" s="1" t="s">
        <v>48</v>
      </c>
      <c r="B44" s="1" t="s">
        <v>40</v>
      </c>
      <c r="C44" s="1" t="s">
        <v>41</v>
      </c>
      <c r="D44" s="1" t="s">
        <v>43</v>
      </c>
      <c r="I44" s="1" t="s">
        <v>48</v>
      </c>
      <c r="J44" s="1" t="s">
        <v>40</v>
      </c>
      <c r="K44" s="1" t="s">
        <v>41</v>
      </c>
      <c r="L44" s="1" t="s">
        <v>43</v>
      </c>
    </row>
    <row r="45" spans="1:19" x14ac:dyDescent="0.25">
      <c r="A45" s="1" t="s">
        <v>42</v>
      </c>
      <c r="B45">
        <f>B52/1000</f>
        <v>1.74E-4</v>
      </c>
      <c r="C45">
        <f>B45/B50</f>
        <v>1.6893203883495144E-2</v>
      </c>
      <c r="D45">
        <f>C45*100</f>
        <v>1.6893203883495145</v>
      </c>
      <c r="I45" s="1" t="s">
        <v>42</v>
      </c>
      <c r="J45">
        <f>J52/1000</f>
        <v>2.6200000000000003E-4</v>
      </c>
      <c r="K45">
        <f>J45/J50</f>
        <v>2.5436893203883499E-2</v>
      </c>
      <c r="L45">
        <f>K45*100</f>
        <v>2.5436893203883497</v>
      </c>
      <c r="P45" s="1" t="s">
        <v>48</v>
      </c>
      <c r="Q45" s="1" t="s">
        <v>40</v>
      </c>
      <c r="R45" s="1" t="s">
        <v>41</v>
      </c>
      <c r="S45" s="1" t="s">
        <v>43</v>
      </c>
    </row>
    <row r="46" spans="1:19" x14ac:dyDescent="0.25">
      <c r="A46" s="1" t="s">
        <v>49</v>
      </c>
      <c r="B46" s="5" t="s">
        <v>44</v>
      </c>
      <c r="C46" s="5" t="s">
        <v>45</v>
      </c>
      <c r="D46" s="5" t="s">
        <v>46</v>
      </c>
      <c r="I46" s="1" t="s">
        <v>49</v>
      </c>
      <c r="J46" s="5" t="s">
        <v>44</v>
      </c>
      <c r="K46" s="5" t="s">
        <v>45</v>
      </c>
      <c r="L46" s="5" t="s">
        <v>46</v>
      </c>
      <c r="P46" s="1" t="s">
        <v>42</v>
      </c>
      <c r="Q46">
        <f>Q53/1000</f>
        <v>5.2300000000000003E-4</v>
      </c>
      <c r="R46">
        <f>Q46/Q51</f>
        <v>5.0776699029126217E-2</v>
      </c>
      <c r="S46">
        <f>R46*100</f>
        <v>5.0776699029126213</v>
      </c>
    </row>
    <row r="47" spans="1:19" x14ac:dyDescent="0.25">
      <c r="P47" s="1" t="s">
        <v>49</v>
      </c>
      <c r="Q47" s="5" t="s">
        <v>44</v>
      </c>
      <c r="R47" s="5" t="s">
        <v>45</v>
      </c>
      <c r="S47" s="5" t="s">
        <v>46</v>
      </c>
    </row>
    <row r="48" spans="1:19" x14ac:dyDescent="0.25">
      <c r="A48" t="s">
        <v>21</v>
      </c>
      <c r="B48">
        <v>4501.7</v>
      </c>
      <c r="C48" t="s">
        <v>22</v>
      </c>
      <c r="I48" t="s">
        <v>21</v>
      </c>
      <c r="J48">
        <v>4501.7</v>
      </c>
      <c r="K48" t="s">
        <v>22</v>
      </c>
    </row>
    <row r="49" spans="1:21" x14ac:dyDescent="0.25">
      <c r="A49" t="s">
        <v>23</v>
      </c>
      <c r="B49">
        <v>5.23</v>
      </c>
      <c r="C49" t="s">
        <v>24</v>
      </c>
      <c r="I49" t="s">
        <v>23</v>
      </c>
      <c r="J49">
        <v>5.23</v>
      </c>
      <c r="K49" t="s">
        <v>24</v>
      </c>
      <c r="P49" t="s">
        <v>21</v>
      </c>
      <c r="Q49">
        <v>4501.7</v>
      </c>
      <c r="R49" t="s">
        <v>22</v>
      </c>
    </row>
    <row r="50" spans="1:21" ht="17.25" x14ac:dyDescent="0.25">
      <c r="A50" t="s">
        <v>39</v>
      </c>
      <c r="B50">
        <v>1.03E-2</v>
      </c>
      <c r="E50" s="1"/>
      <c r="I50" t="s">
        <v>39</v>
      </c>
      <c r="J50">
        <v>1.03E-2</v>
      </c>
      <c r="M50" s="1"/>
      <c r="P50" t="s">
        <v>23</v>
      </c>
      <c r="Q50">
        <v>5.23</v>
      </c>
      <c r="R50" t="s">
        <v>24</v>
      </c>
    </row>
    <row r="51" spans="1:21" ht="17.25" x14ac:dyDescent="0.25">
      <c r="A51" s="28">
        <v>6.5</v>
      </c>
      <c r="B51" s="28"/>
      <c r="C51" s="28"/>
      <c r="D51" s="28"/>
      <c r="E51" s="28"/>
      <c r="F51" s="28"/>
      <c r="I51" s="28">
        <v>6.5</v>
      </c>
      <c r="J51" s="28"/>
      <c r="K51" s="28"/>
      <c r="L51" s="28"/>
      <c r="M51" s="28"/>
      <c r="N51" s="28"/>
      <c r="P51" t="s">
        <v>39</v>
      </c>
      <c r="Q51">
        <v>1.03E-2</v>
      </c>
      <c r="T51" s="1"/>
    </row>
    <row r="52" spans="1:21" x14ac:dyDescent="0.25">
      <c r="A52" t="s">
        <v>37</v>
      </c>
      <c r="B52">
        <v>0.17399999999999999</v>
      </c>
      <c r="C52" s="7" t="s">
        <v>25</v>
      </c>
      <c r="E52" s="2"/>
      <c r="I52" t="s">
        <v>37</v>
      </c>
      <c r="J52">
        <v>0.26200000000000001</v>
      </c>
      <c r="K52" s="7" t="s">
        <v>27</v>
      </c>
      <c r="M52" s="2"/>
      <c r="P52" s="28">
        <v>6.5</v>
      </c>
      <c r="Q52" s="28"/>
      <c r="R52" s="28"/>
      <c r="S52" s="28"/>
      <c r="T52" s="28"/>
      <c r="U52" s="28"/>
    </row>
    <row r="53" spans="1:21" x14ac:dyDescent="0.25">
      <c r="C53" s="7" t="s">
        <v>26</v>
      </c>
      <c r="E53" s="2"/>
      <c r="K53" s="7" t="s">
        <v>28</v>
      </c>
      <c r="M53" s="2"/>
      <c r="P53" t="s">
        <v>37</v>
      </c>
      <c r="Q53">
        <v>0.52300000000000002</v>
      </c>
      <c r="R53" s="7" t="s">
        <v>29</v>
      </c>
      <c r="T53" s="2"/>
    </row>
    <row r="54" spans="1:21" x14ac:dyDescent="0.25">
      <c r="D54" t="s">
        <v>4</v>
      </c>
      <c r="E54" t="s">
        <v>5</v>
      </c>
      <c r="L54" t="s">
        <v>4</v>
      </c>
      <c r="M54" t="s">
        <v>5</v>
      </c>
      <c r="R54" s="7" t="s">
        <v>30</v>
      </c>
      <c r="T54" s="2"/>
    </row>
    <row r="55" spans="1:21" ht="18" x14ac:dyDescent="0.35">
      <c r="A55" t="s">
        <v>0</v>
      </c>
      <c r="B55" t="s">
        <v>1</v>
      </c>
      <c r="C55" t="s">
        <v>2</v>
      </c>
      <c r="D55" t="s">
        <v>47</v>
      </c>
      <c r="F55" t="s">
        <v>50</v>
      </c>
      <c r="I55" t="s">
        <v>0</v>
      </c>
      <c r="J55" t="s">
        <v>1</v>
      </c>
      <c r="K55" t="s">
        <v>2</v>
      </c>
      <c r="L55" t="s">
        <v>47</v>
      </c>
      <c r="N55" t="s">
        <v>50</v>
      </c>
      <c r="S55" t="s">
        <v>4</v>
      </c>
      <c r="T55" t="s">
        <v>5</v>
      </c>
    </row>
    <row r="56" spans="1:21" ht="18" x14ac:dyDescent="0.35">
      <c r="A56">
        <v>10</v>
      </c>
      <c r="B56">
        <v>2.1</v>
      </c>
      <c r="C56" s="3">
        <f>E5</f>
        <v>1.6</v>
      </c>
      <c r="D56">
        <f>LN(C56/B56)</f>
        <v>-0.27193371548364181</v>
      </c>
      <c r="F56" t="s">
        <v>51</v>
      </c>
      <c r="I56">
        <v>10</v>
      </c>
      <c r="J56">
        <v>2.1</v>
      </c>
      <c r="K56" s="3">
        <f>F5</f>
        <v>1.63</v>
      </c>
      <c r="L56">
        <f>LN(K56/J56)</f>
        <v>-0.25335732991070647</v>
      </c>
      <c r="N56" t="s">
        <v>51</v>
      </c>
      <c r="P56" t="s">
        <v>0</v>
      </c>
      <c r="Q56" t="s">
        <v>1</v>
      </c>
      <c r="R56" t="s">
        <v>2</v>
      </c>
      <c r="S56" t="s">
        <v>47</v>
      </c>
      <c r="U56" t="s">
        <v>50</v>
      </c>
    </row>
    <row r="57" spans="1:21" ht="18" x14ac:dyDescent="0.35">
      <c r="A57">
        <v>20</v>
      </c>
      <c r="B57">
        <v>2.1</v>
      </c>
      <c r="C57" s="3">
        <f t="shared" ref="C57:C61" si="8">E6</f>
        <v>1.1100000000000001</v>
      </c>
      <c r="D57">
        <f t="shared" ref="D57:D58" si="9">LN(C57/B57)</f>
        <v>-0.63757732940513456</v>
      </c>
      <c r="F57" s="4" t="s">
        <v>54</v>
      </c>
      <c r="I57">
        <v>20</v>
      </c>
      <c r="J57">
        <v>2.1</v>
      </c>
      <c r="K57" s="3">
        <f t="shared" ref="K57:K61" si="10">F6</f>
        <v>1.2</v>
      </c>
      <c r="L57">
        <f t="shared" ref="L57:L58" si="11">LN(K57/J57)</f>
        <v>-0.55961578793542277</v>
      </c>
      <c r="N57" s="4" t="s">
        <v>54</v>
      </c>
      <c r="P57">
        <v>10</v>
      </c>
      <c r="Q57">
        <v>2.1</v>
      </c>
      <c r="R57" s="3">
        <f>G5</f>
        <v>1.6</v>
      </c>
      <c r="S57">
        <f>LN(R57/Q57)</f>
        <v>-0.27193371548364181</v>
      </c>
      <c r="U57" t="s">
        <v>51</v>
      </c>
    </row>
    <row r="58" spans="1:21" ht="18" x14ac:dyDescent="0.35">
      <c r="A58">
        <v>30</v>
      </c>
      <c r="B58">
        <v>2.1</v>
      </c>
      <c r="C58" s="3">
        <f t="shared" si="8"/>
        <v>0.54</v>
      </c>
      <c r="D58">
        <f t="shared" si="9"/>
        <v>-1.3581234841531942</v>
      </c>
      <c r="F58" s="4" t="s">
        <v>52</v>
      </c>
      <c r="I58">
        <v>30</v>
      </c>
      <c r="J58">
        <v>2.1</v>
      </c>
      <c r="K58" s="3">
        <f t="shared" si="10"/>
        <v>0.89</v>
      </c>
      <c r="L58">
        <f t="shared" si="11"/>
        <v>-0.85847116098532883</v>
      </c>
      <c r="N58" s="4" t="s">
        <v>52</v>
      </c>
      <c r="P58">
        <v>20</v>
      </c>
      <c r="Q58">
        <v>2.1</v>
      </c>
      <c r="R58" s="3">
        <f t="shared" ref="R58:R62" si="12">G6</f>
        <v>1.5</v>
      </c>
      <c r="S58">
        <f t="shared" ref="S58:S59" si="13">LN(R58/Q58)</f>
        <v>-0.33647223662121289</v>
      </c>
      <c r="U58" s="4" t="s">
        <v>54</v>
      </c>
    </row>
    <row r="59" spans="1:21" x14ac:dyDescent="0.25">
      <c r="A59">
        <v>40</v>
      </c>
      <c r="B59">
        <v>2.1</v>
      </c>
      <c r="C59" s="3">
        <f t="shared" si="8"/>
        <v>0.44</v>
      </c>
      <c r="D59">
        <f>LN(C59/B59)</f>
        <v>-1.5629178967992075</v>
      </c>
      <c r="I59">
        <v>40</v>
      </c>
      <c r="J59">
        <v>2.1</v>
      </c>
      <c r="K59" s="3">
        <f t="shared" si="10"/>
        <v>0.9</v>
      </c>
      <c r="L59">
        <f>LN(K59/J59)</f>
        <v>-0.84729786038720367</v>
      </c>
      <c r="P59">
        <v>30</v>
      </c>
      <c r="Q59">
        <v>2.1</v>
      </c>
      <c r="R59" s="3">
        <f t="shared" si="12"/>
        <v>1.24</v>
      </c>
      <c r="S59">
        <f t="shared" si="13"/>
        <v>-0.52682596511243185</v>
      </c>
      <c r="U59" s="4" t="s">
        <v>52</v>
      </c>
    </row>
    <row r="60" spans="1:21" ht="18" x14ac:dyDescent="0.35">
      <c r="A60">
        <v>50</v>
      </c>
      <c r="B60">
        <v>2.1</v>
      </c>
      <c r="C60" s="3">
        <f t="shared" si="8"/>
        <v>0.45</v>
      </c>
      <c r="D60">
        <f t="shared" ref="D60:D61" si="14">LN(C60/B60)</f>
        <v>-1.5404450409471491</v>
      </c>
      <c r="F60" t="s">
        <v>53</v>
      </c>
      <c r="I60">
        <v>50</v>
      </c>
      <c r="J60">
        <v>2.1</v>
      </c>
      <c r="K60" s="3">
        <f t="shared" si="10"/>
        <v>0.9</v>
      </c>
      <c r="L60">
        <f t="shared" ref="L60:L61" si="15">LN(K60/J60)</f>
        <v>-0.84729786038720367</v>
      </c>
      <c r="N60" t="s">
        <v>53</v>
      </c>
      <c r="P60">
        <v>40</v>
      </c>
      <c r="Q60">
        <v>2.1</v>
      </c>
      <c r="R60" s="3">
        <f t="shared" si="12"/>
        <v>1.2</v>
      </c>
      <c r="S60">
        <f>LN(R60/Q60)</f>
        <v>-0.55961578793542277</v>
      </c>
    </row>
    <row r="61" spans="1:21" ht="18" x14ac:dyDescent="0.35">
      <c r="A61">
        <v>60</v>
      </c>
      <c r="B61">
        <v>2.1</v>
      </c>
      <c r="C61" s="3">
        <f t="shared" si="8"/>
        <v>0.42</v>
      </c>
      <c r="D61">
        <f t="shared" si="14"/>
        <v>-1.6094379124341005</v>
      </c>
      <c r="I61">
        <v>60</v>
      </c>
      <c r="J61">
        <v>2.1</v>
      </c>
      <c r="K61" s="3">
        <f t="shared" si="10"/>
        <v>0.89</v>
      </c>
      <c r="L61">
        <f t="shared" si="15"/>
        <v>-0.85847116098532883</v>
      </c>
      <c r="P61">
        <v>50</v>
      </c>
      <c r="Q61">
        <v>2.1</v>
      </c>
      <c r="R61" s="3">
        <f t="shared" si="12"/>
        <v>1.1000000000000001</v>
      </c>
      <c r="S61">
        <f t="shared" ref="S61:S62" si="16">LN(R61/Q61)</f>
        <v>-0.64662716492505246</v>
      </c>
      <c r="U61" t="s">
        <v>53</v>
      </c>
    </row>
    <row r="62" spans="1:21" x14ac:dyDescent="0.25">
      <c r="P62">
        <v>60</v>
      </c>
      <c r="Q62">
        <v>2.1</v>
      </c>
      <c r="R62" s="3">
        <f t="shared" si="12"/>
        <v>1.1100000000000001</v>
      </c>
      <c r="S62">
        <f t="shared" si="16"/>
        <v>-0.63757732940513456</v>
      </c>
    </row>
    <row r="64" spans="1:21" ht="18" x14ac:dyDescent="0.35">
      <c r="A64" t="s">
        <v>6</v>
      </c>
      <c r="B64" t="s">
        <v>7</v>
      </c>
      <c r="C64" t="s">
        <v>8</v>
      </c>
      <c r="D64" s="4" t="s">
        <v>55</v>
      </c>
      <c r="I64" t="s">
        <v>6</v>
      </c>
      <c r="J64" t="s">
        <v>7</v>
      </c>
      <c r="K64" t="s">
        <v>8</v>
      </c>
      <c r="L64" s="4" t="s">
        <v>55</v>
      </c>
    </row>
    <row r="65" spans="1:19" ht="18" x14ac:dyDescent="0.35">
      <c r="A65">
        <f>SLOPE(D57:D61,A57:A61)</f>
        <v>-2.1260427228518869E-2</v>
      </c>
      <c r="B65">
        <f>INTERCEPT(D57:D61,A57:A61)</f>
        <v>-0.49128324360700248</v>
      </c>
      <c r="C65">
        <f>A65/B56</f>
        <v>-1.0124012965961366E-2</v>
      </c>
      <c r="D65">
        <f>((B65*D45)/(C65*50.8))</f>
        <v>1.6137177288453546</v>
      </c>
      <c r="I65">
        <f>SLOPE(L57:L61,I57:I61)</f>
        <v>-5.8653744550168693E-3</v>
      </c>
      <c r="J65">
        <f>INTERCEPT(L57:L61,I57:I61)</f>
        <v>-0.55961578793542266</v>
      </c>
      <c r="K65">
        <f>I65/J56</f>
        <v>-2.7930354547699376E-3</v>
      </c>
      <c r="L65">
        <f>((J65*L45)/(K65*50.8))</f>
        <v>10.03260847237415</v>
      </c>
      <c r="P65" t="s">
        <v>6</v>
      </c>
      <c r="Q65" t="s">
        <v>7</v>
      </c>
      <c r="R65" t="s">
        <v>8</v>
      </c>
      <c r="S65" s="4" t="s">
        <v>55</v>
      </c>
    </row>
    <row r="66" spans="1:19" x14ac:dyDescent="0.25">
      <c r="P66">
        <f>SLOPE(S58:S62,P58:P62)</f>
        <v>-7.2201138538046401E-3</v>
      </c>
      <c r="Q66">
        <f>INTERCEPT(S58:S62,P58:P62)</f>
        <v>-0.25261914264766533</v>
      </c>
      <c r="R66">
        <f>P66/Q57</f>
        <v>-3.4381494541926858E-3</v>
      </c>
      <c r="S66">
        <f>((Q66*S46)/(R66*50.8))</f>
        <v>7.3441621584471735</v>
      </c>
    </row>
    <row r="82" spans="1:21" x14ac:dyDescent="0.25">
      <c r="A82" s="1" t="s">
        <v>48</v>
      </c>
      <c r="B82" s="1" t="s">
        <v>40</v>
      </c>
      <c r="C82" s="1" t="s">
        <v>41</v>
      </c>
      <c r="D82" s="1" t="s">
        <v>43</v>
      </c>
      <c r="I82" s="1" t="s">
        <v>48</v>
      </c>
      <c r="J82" s="1" t="s">
        <v>40</v>
      </c>
      <c r="K82" s="1" t="s">
        <v>41</v>
      </c>
      <c r="L82" s="1" t="s">
        <v>43</v>
      </c>
      <c r="P82" s="1" t="s">
        <v>48</v>
      </c>
      <c r="Q82" s="1" t="s">
        <v>40</v>
      </c>
      <c r="R82" s="1" t="s">
        <v>41</v>
      </c>
      <c r="S82" s="1" t="s">
        <v>43</v>
      </c>
    </row>
    <row r="83" spans="1:21" x14ac:dyDescent="0.25">
      <c r="A83" s="1" t="s">
        <v>42</v>
      </c>
      <c r="B83">
        <f>B90/1000</f>
        <v>1.74E-4</v>
      </c>
      <c r="C83">
        <f>B83/B88</f>
        <v>1.6893203883495144E-2</v>
      </c>
      <c r="D83">
        <f>C83*100</f>
        <v>1.6893203883495145</v>
      </c>
      <c r="I83" s="1" t="s">
        <v>42</v>
      </c>
      <c r="J83">
        <f>J90/1000</f>
        <v>2.6200000000000003E-4</v>
      </c>
      <c r="K83">
        <f>J83/J88</f>
        <v>2.5436893203883499E-2</v>
      </c>
      <c r="L83">
        <f>K83*100</f>
        <v>2.5436893203883497</v>
      </c>
      <c r="P83" s="1" t="s">
        <v>42</v>
      </c>
      <c r="Q83">
        <f>Q90/1000</f>
        <v>5.2300000000000003E-4</v>
      </c>
      <c r="R83">
        <f>Q83/Q88</f>
        <v>5.0776699029126217E-2</v>
      </c>
      <c r="S83">
        <f>R83*100</f>
        <v>5.0776699029126213</v>
      </c>
    </row>
    <row r="84" spans="1:21" x14ac:dyDescent="0.25">
      <c r="A84" s="1" t="s">
        <v>49</v>
      </c>
      <c r="B84" s="5" t="s">
        <v>44</v>
      </c>
      <c r="C84" s="5" t="s">
        <v>45</v>
      </c>
      <c r="D84" s="5" t="s">
        <v>46</v>
      </c>
      <c r="I84" s="1" t="s">
        <v>49</v>
      </c>
      <c r="J84" s="5" t="s">
        <v>44</v>
      </c>
      <c r="K84" s="5" t="s">
        <v>45</v>
      </c>
      <c r="L84" s="5" t="s">
        <v>46</v>
      </c>
      <c r="P84" s="1" t="s">
        <v>49</v>
      </c>
      <c r="Q84" s="5" t="s">
        <v>44</v>
      </c>
      <c r="R84" s="5" t="s">
        <v>45</v>
      </c>
      <c r="S84" s="5" t="s">
        <v>46</v>
      </c>
    </row>
    <row r="86" spans="1:21" x14ac:dyDescent="0.25">
      <c r="A86" t="s">
        <v>21</v>
      </c>
      <c r="B86">
        <v>4501.7</v>
      </c>
      <c r="C86" t="s">
        <v>22</v>
      </c>
      <c r="I86" t="s">
        <v>21</v>
      </c>
      <c r="J86">
        <v>4501.7</v>
      </c>
      <c r="K86" t="s">
        <v>22</v>
      </c>
      <c r="P86" t="s">
        <v>21</v>
      </c>
      <c r="Q86">
        <v>4501.7</v>
      </c>
      <c r="R86" t="s">
        <v>22</v>
      </c>
    </row>
    <row r="87" spans="1:21" x14ac:dyDescent="0.25">
      <c r="A87" t="s">
        <v>23</v>
      </c>
      <c r="B87">
        <v>5.23</v>
      </c>
      <c r="C87" t="s">
        <v>24</v>
      </c>
      <c r="I87" t="s">
        <v>23</v>
      </c>
      <c r="J87">
        <v>5.23</v>
      </c>
      <c r="K87" t="s">
        <v>24</v>
      </c>
      <c r="P87" t="s">
        <v>23</v>
      </c>
      <c r="Q87">
        <v>5.23</v>
      </c>
      <c r="R87" t="s">
        <v>24</v>
      </c>
    </row>
    <row r="88" spans="1:21" ht="17.25" x14ac:dyDescent="0.25">
      <c r="A88" t="s">
        <v>39</v>
      </c>
      <c r="B88">
        <v>1.03E-2</v>
      </c>
      <c r="E88" s="1"/>
      <c r="I88" t="s">
        <v>39</v>
      </c>
      <c r="J88">
        <v>1.03E-2</v>
      </c>
      <c r="M88" s="1"/>
      <c r="P88" t="s">
        <v>39</v>
      </c>
      <c r="Q88">
        <v>1.03E-2</v>
      </c>
      <c r="T88" s="1"/>
    </row>
    <row r="89" spans="1:21" x14ac:dyDescent="0.25">
      <c r="A89" s="28">
        <v>6.5</v>
      </c>
      <c r="B89" s="28"/>
      <c r="C89" s="28"/>
      <c r="D89" s="28"/>
      <c r="E89" s="28"/>
      <c r="F89" s="28"/>
      <c r="I89" s="28">
        <v>6.5</v>
      </c>
      <c r="J89" s="28"/>
      <c r="K89" s="28"/>
      <c r="L89" s="28"/>
      <c r="M89" s="28"/>
      <c r="N89" s="28"/>
      <c r="P89" s="28">
        <v>6.5</v>
      </c>
      <c r="Q89" s="28"/>
      <c r="R89" s="28"/>
      <c r="S89" s="28"/>
      <c r="T89" s="28"/>
      <c r="U89" s="28"/>
    </row>
    <row r="90" spans="1:21" x14ac:dyDescent="0.25">
      <c r="A90" t="s">
        <v>37</v>
      </c>
      <c r="B90">
        <v>0.17399999999999999</v>
      </c>
      <c r="C90" s="7" t="s">
        <v>25</v>
      </c>
      <c r="E90" s="2"/>
      <c r="I90" t="s">
        <v>37</v>
      </c>
      <c r="J90">
        <v>0.26200000000000001</v>
      </c>
      <c r="K90" s="7" t="s">
        <v>27</v>
      </c>
      <c r="M90" s="2"/>
      <c r="P90" t="s">
        <v>37</v>
      </c>
      <c r="Q90">
        <v>0.52300000000000002</v>
      </c>
      <c r="R90" s="7" t="s">
        <v>29</v>
      </c>
      <c r="T90" s="2"/>
    </row>
    <row r="91" spans="1:21" x14ac:dyDescent="0.25">
      <c r="C91" s="7" t="s">
        <v>26</v>
      </c>
      <c r="E91" s="2"/>
      <c r="K91" s="7" t="s">
        <v>28</v>
      </c>
      <c r="M91" s="2"/>
      <c r="R91" s="7" t="s">
        <v>30</v>
      </c>
      <c r="T91" s="2"/>
    </row>
    <row r="92" spans="1:21" x14ac:dyDescent="0.25">
      <c r="D92" t="s">
        <v>4</v>
      </c>
      <c r="E92" t="s">
        <v>5</v>
      </c>
      <c r="L92" t="s">
        <v>4</v>
      </c>
      <c r="M92" t="s">
        <v>5</v>
      </c>
      <c r="S92" t="s">
        <v>4</v>
      </c>
      <c r="T92" t="s">
        <v>5</v>
      </c>
    </row>
    <row r="93" spans="1:21" ht="18" x14ac:dyDescent="0.35">
      <c r="A93" t="s">
        <v>0</v>
      </c>
      <c r="B93" t="s">
        <v>1</v>
      </c>
      <c r="C93" t="s">
        <v>2</v>
      </c>
      <c r="D93" t="s">
        <v>47</v>
      </c>
      <c r="F93" t="s">
        <v>50</v>
      </c>
      <c r="I93" t="s">
        <v>0</v>
      </c>
      <c r="J93" t="s">
        <v>1</v>
      </c>
      <c r="K93" t="s">
        <v>2</v>
      </c>
      <c r="L93" t="s">
        <v>47</v>
      </c>
      <c r="N93" t="s">
        <v>50</v>
      </c>
      <c r="P93" t="s">
        <v>0</v>
      </c>
      <c r="Q93" t="s">
        <v>1</v>
      </c>
      <c r="R93" t="s">
        <v>2</v>
      </c>
      <c r="S93" t="s">
        <v>47</v>
      </c>
      <c r="U93" t="s">
        <v>50</v>
      </c>
    </row>
    <row r="94" spans="1:21" ht="18" x14ac:dyDescent="0.35">
      <c r="A94">
        <v>10</v>
      </c>
      <c r="B94">
        <v>2.1</v>
      </c>
      <c r="C94" s="3">
        <f>H5</f>
        <v>1.8966666666666665</v>
      </c>
      <c r="D94">
        <f>LN(C94/B94)</f>
        <v>-0.10183938525924756</v>
      </c>
      <c r="F94" t="s">
        <v>51</v>
      </c>
      <c r="I94">
        <v>10</v>
      </c>
      <c r="J94">
        <v>2.1</v>
      </c>
      <c r="K94" s="3">
        <f>I5</f>
        <v>1.8</v>
      </c>
      <c r="L94">
        <f>LN(K94/J94)</f>
        <v>-0.15415067982725836</v>
      </c>
      <c r="N94" t="s">
        <v>51</v>
      </c>
      <c r="P94">
        <v>10</v>
      </c>
      <c r="Q94">
        <v>2.1</v>
      </c>
      <c r="R94" s="3">
        <f>J5</f>
        <v>1.8466666666666667</v>
      </c>
      <c r="S94">
        <f>LN(R94/Q94)</f>
        <v>-0.12855513263829457</v>
      </c>
      <c r="U94" t="s">
        <v>51</v>
      </c>
    </row>
    <row r="95" spans="1:21" ht="18" x14ac:dyDescent="0.35">
      <c r="A95">
        <v>20</v>
      </c>
      <c r="B95">
        <v>2.1</v>
      </c>
      <c r="C95" s="3">
        <f t="shared" ref="C95:C99" si="17">H6</f>
        <v>0.90666666666666673</v>
      </c>
      <c r="D95">
        <f t="shared" ref="D95:D96" si="18">LN(C95/B95)</f>
        <v>-0.83991775308958105</v>
      </c>
      <c r="F95" s="4" t="s">
        <v>54</v>
      </c>
      <c r="I95">
        <v>20</v>
      </c>
      <c r="J95">
        <v>2.1</v>
      </c>
      <c r="K95" s="3">
        <f t="shared" ref="K95:K99" si="19">I6</f>
        <v>1.2766666666666666</v>
      </c>
      <c r="L95">
        <f t="shared" ref="L95:L96" si="20">LN(K95/J95)</f>
        <v>-0.49768483020493248</v>
      </c>
      <c r="N95" s="4" t="s">
        <v>54</v>
      </c>
      <c r="P95">
        <v>20</v>
      </c>
      <c r="Q95">
        <v>2.1</v>
      </c>
      <c r="R95" s="3">
        <f t="shared" ref="R95:R99" si="21">J6</f>
        <v>1.1399999999999999</v>
      </c>
      <c r="S95">
        <f t="shared" ref="S95:S96" si="22">LN(R95/Q95)</f>
        <v>-0.61090908232297325</v>
      </c>
      <c r="U95" s="4" t="s">
        <v>54</v>
      </c>
    </row>
    <row r="96" spans="1:21" x14ac:dyDescent="0.25">
      <c r="A96">
        <v>30</v>
      </c>
      <c r="B96">
        <v>2.1</v>
      </c>
      <c r="C96" s="3">
        <f t="shared" si="17"/>
        <v>0.34999999999999992</v>
      </c>
      <c r="D96">
        <f t="shared" si="18"/>
        <v>-1.7917594692280552</v>
      </c>
      <c r="F96" s="4" t="s">
        <v>52</v>
      </c>
      <c r="I96">
        <v>30</v>
      </c>
      <c r="J96">
        <v>2.1</v>
      </c>
      <c r="K96" s="3">
        <f t="shared" si="19"/>
        <v>0.93666666666666665</v>
      </c>
      <c r="L96">
        <f t="shared" si="20"/>
        <v>-0.80736515005183263</v>
      </c>
      <c r="N96" s="4" t="s">
        <v>52</v>
      </c>
      <c r="P96">
        <v>30</v>
      </c>
      <c r="Q96">
        <v>2.1</v>
      </c>
      <c r="R96" s="3">
        <f t="shared" si="21"/>
        <v>1.01</v>
      </c>
      <c r="S96">
        <f t="shared" si="22"/>
        <v>-0.73198701387620935</v>
      </c>
      <c r="U96" s="4" t="s">
        <v>52</v>
      </c>
    </row>
    <row r="97" spans="1:21" x14ac:dyDescent="0.25">
      <c r="A97">
        <v>40</v>
      </c>
      <c r="B97">
        <v>2.1</v>
      </c>
      <c r="C97" s="3">
        <f t="shared" si="17"/>
        <v>0.19666666666666668</v>
      </c>
      <c r="D97">
        <f>LN(C97/B97)</f>
        <v>-2.3681823754798588</v>
      </c>
      <c r="I97">
        <v>40</v>
      </c>
      <c r="J97">
        <v>2.1</v>
      </c>
      <c r="K97" s="3">
        <f t="shared" si="19"/>
        <v>0.71333333333333326</v>
      </c>
      <c r="L97">
        <f>LN(K97/J97)</f>
        <v>-1.0797438043637271</v>
      </c>
      <c r="P97">
        <v>40</v>
      </c>
      <c r="Q97">
        <v>2.1</v>
      </c>
      <c r="R97" s="3">
        <f t="shared" si="21"/>
        <v>0.65666666666666673</v>
      </c>
      <c r="S97">
        <f>LN(R97/Q97)</f>
        <v>-1.1625160906475898</v>
      </c>
    </row>
    <row r="98" spans="1:21" ht="18" x14ac:dyDescent="0.35">
      <c r="A98">
        <v>50</v>
      </c>
      <c r="B98">
        <v>2.1</v>
      </c>
      <c r="C98" s="3">
        <f t="shared" si="17"/>
        <v>0.18333333333333335</v>
      </c>
      <c r="D98">
        <f t="shared" ref="D98:D99" si="23">LN(C98/B98)</f>
        <v>-2.4383866341531073</v>
      </c>
      <c r="F98" t="s">
        <v>53</v>
      </c>
      <c r="I98">
        <v>50</v>
      </c>
      <c r="J98">
        <v>2.1</v>
      </c>
      <c r="K98" s="3">
        <f t="shared" si="19"/>
        <v>0.57999999999999996</v>
      </c>
      <c r="L98">
        <f t="shared" ref="L98:L99" si="24">LN(K98/J98)</f>
        <v>-1.2866645201710494</v>
      </c>
      <c r="N98" t="s">
        <v>53</v>
      </c>
      <c r="P98">
        <v>50</v>
      </c>
      <c r="Q98">
        <v>2.1</v>
      </c>
      <c r="R98" s="3">
        <f t="shared" si="21"/>
        <v>0.58333333333333337</v>
      </c>
      <c r="S98">
        <f t="shared" ref="S98:S99" si="25">LN(R98/Q98)</f>
        <v>-1.2809338454620642</v>
      </c>
      <c r="U98" t="s">
        <v>53</v>
      </c>
    </row>
    <row r="99" spans="1:21" x14ac:dyDescent="0.25">
      <c r="A99">
        <v>60</v>
      </c>
      <c r="B99">
        <v>2.1</v>
      </c>
      <c r="C99" s="3">
        <f t="shared" si="17"/>
        <v>0.1466666666666667</v>
      </c>
      <c r="D99">
        <f t="shared" si="23"/>
        <v>-2.661530185467317</v>
      </c>
      <c r="I99">
        <v>60</v>
      </c>
      <c r="J99">
        <v>2.1</v>
      </c>
      <c r="K99" s="3">
        <f t="shared" si="19"/>
        <v>0.54333333333333333</v>
      </c>
      <c r="L99">
        <f t="shared" si="24"/>
        <v>-1.3519696185788161</v>
      </c>
      <c r="P99">
        <v>60</v>
      </c>
      <c r="Q99">
        <v>2.1</v>
      </c>
      <c r="R99" s="3">
        <f t="shared" si="21"/>
        <v>0.60666666666666658</v>
      </c>
      <c r="S99">
        <f t="shared" si="25"/>
        <v>-1.2417131323087833</v>
      </c>
    </row>
    <row r="102" spans="1:21" ht="18" x14ac:dyDescent="0.35">
      <c r="A102" t="s">
        <v>6</v>
      </c>
      <c r="B102" t="s">
        <v>7</v>
      </c>
      <c r="C102" t="s">
        <v>8</v>
      </c>
      <c r="D102" s="4" t="s">
        <v>55</v>
      </c>
      <c r="I102" t="s">
        <v>6</v>
      </c>
      <c r="J102" t="s">
        <v>7</v>
      </c>
      <c r="K102" t="s">
        <v>8</v>
      </c>
      <c r="L102" s="4" t="s">
        <v>55</v>
      </c>
      <c r="P102" t="s">
        <v>6</v>
      </c>
      <c r="Q102" t="s">
        <v>7</v>
      </c>
      <c r="R102" t="s">
        <v>8</v>
      </c>
      <c r="S102" s="4" t="s">
        <v>55</v>
      </c>
    </row>
    <row r="103" spans="1:21" x14ac:dyDescent="0.25">
      <c r="A103">
        <f>SLOPE(D95:D99,A95:A99)</f>
        <v>-4.2898520296805243E-2</v>
      </c>
      <c r="B103">
        <f>INTERCEPT(D95:D99,A95:A99)</f>
        <v>-0.30401447161137396</v>
      </c>
      <c r="C103">
        <f>A103/B94</f>
        <v>-2.0427866808002494E-2</v>
      </c>
      <c r="D103">
        <f>((B103*D83)/(C103*50.8))</f>
        <v>0.49490238987240276</v>
      </c>
      <c r="I103">
        <f>SLOPE(L95:L99,I95:I99)</f>
        <v>-2.1878689468669839E-2</v>
      </c>
      <c r="J103">
        <f>INTERCEPT(L95:L99,I95:I99)</f>
        <v>-0.12953800592727815</v>
      </c>
      <c r="K103">
        <f>I103/J94</f>
        <v>-1.0418423556509447E-2</v>
      </c>
      <c r="L103">
        <f>((J103*L83)/(K103*50.8))</f>
        <v>0.62258055485593833</v>
      </c>
      <c r="P103">
        <f>SLOPE(S95:S99,P95:P99)</f>
        <v>-1.8105549315574749E-2</v>
      </c>
      <c r="Q103">
        <f>INTERCEPT(S95:S99,P95:P99)</f>
        <v>-0.28138986030053403</v>
      </c>
      <c r="R103">
        <f>P103/Q94</f>
        <v>-8.6216901502736889E-3</v>
      </c>
      <c r="S103">
        <f>((Q103*S83)/(R103*50.8))</f>
        <v>3.2622465821463615</v>
      </c>
    </row>
  </sheetData>
  <mergeCells count="13">
    <mergeCell ref="P19:U19"/>
    <mergeCell ref="P52:U52"/>
    <mergeCell ref="I51:N51"/>
    <mergeCell ref="A51:F51"/>
    <mergeCell ref="A89:F89"/>
    <mergeCell ref="I89:N89"/>
    <mergeCell ref="P89:U89"/>
    <mergeCell ref="A1:J1"/>
    <mergeCell ref="B2:D2"/>
    <mergeCell ref="E2:G2"/>
    <mergeCell ref="H2:J2"/>
    <mergeCell ref="A19:F19"/>
    <mergeCell ref="I19:N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A118" workbookViewId="0">
      <selection activeCell="F21" sqref="F21"/>
    </sheetView>
  </sheetViews>
  <sheetFormatPr defaultRowHeight="15" x14ac:dyDescent="0.25"/>
  <cols>
    <col min="1" max="1" width="10.7109375" bestFit="1" customWidth="1"/>
    <col min="2" max="2" width="13.140625" bestFit="1" customWidth="1"/>
    <col min="3" max="3" width="13.5703125" bestFit="1" customWidth="1"/>
    <col min="4" max="4" width="12.28515625" bestFit="1" customWidth="1"/>
    <col min="5" max="5" width="13.140625" bestFit="1" customWidth="1"/>
    <col min="6" max="6" width="12.5703125" bestFit="1" customWidth="1"/>
    <col min="7" max="7" width="12.28515625" bestFit="1" customWidth="1"/>
    <col min="8" max="8" width="13.140625" bestFit="1" customWidth="1"/>
    <col min="9" max="9" width="12.5703125" bestFit="1" customWidth="1"/>
    <col min="10" max="10" width="12.28515625" bestFit="1" customWidth="1"/>
    <col min="16" max="16" width="12.5703125" customWidth="1"/>
    <col min="17" max="17" width="11.85546875" customWidth="1"/>
  </cols>
  <sheetData>
    <row r="1" spans="1:19" x14ac:dyDescent="0.25">
      <c r="A1" s="28" t="str">
        <f>'[1]Manganese Graphs'!C34</f>
        <v>Manganese (mg/l)</v>
      </c>
      <c r="B1" s="28"/>
      <c r="C1" s="28"/>
      <c r="D1" s="28"/>
      <c r="E1" s="28"/>
      <c r="F1" s="28"/>
      <c r="G1" s="28"/>
      <c r="H1" s="28"/>
      <c r="I1" s="28"/>
      <c r="J1" s="28"/>
    </row>
    <row r="2" spans="1:19" x14ac:dyDescent="0.25">
      <c r="A2" s="1" t="str">
        <f>'[1]Manganese Graphs'!C35</f>
        <v>Time (min)</v>
      </c>
      <c r="B2" s="28">
        <f>'[1]Manganese Graphs'!D35</f>
        <v>6.5</v>
      </c>
      <c r="C2" s="28"/>
      <c r="D2" s="28"/>
      <c r="E2" s="28">
        <f>'[1]Manganese Graphs'!G35</f>
        <v>7.5</v>
      </c>
      <c r="F2" s="28"/>
      <c r="G2" s="28"/>
      <c r="H2" s="28">
        <f>'[1]Manganese Graphs'!J35</f>
        <v>8.5</v>
      </c>
      <c r="I2" s="28"/>
      <c r="J2" s="28"/>
    </row>
    <row r="3" spans="1:19" x14ac:dyDescent="0.25">
      <c r="A3" s="1">
        <f>'[1]Manganese Graphs'!C36</f>
        <v>0</v>
      </c>
      <c r="B3" s="1" t="str">
        <f>'[1]Manganese Graphs'!D36</f>
        <v>0,174 (l/min)</v>
      </c>
      <c r="C3" s="1" t="str">
        <f>'[1]Manganese Graphs'!E36</f>
        <v>0,262 (l/min)</v>
      </c>
      <c r="D3" s="1" t="str">
        <f>'[1]Manganese Graphs'!F36</f>
        <v>0,523 (l/min)</v>
      </c>
      <c r="E3" s="1" t="str">
        <f>'[1]Manganese Graphs'!G36</f>
        <v>0,174 (l/min)</v>
      </c>
      <c r="F3" s="1" t="str">
        <f>'[1]Manganese Graphs'!H36</f>
        <v>0,262 (l/min)</v>
      </c>
      <c r="G3" s="1" t="str">
        <f>'[1]Manganese Graphs'!I36</f>
        <v>0,523 (l/min)</v>
      </c>
      <c r="H3" s="1" t="str">
        <f>'[1]Manganese Graphs'!J36</f>
        <v>0,174 (l/min)</v>
      </c>
      <c r="I3" s="1" t="str">
        <f>'[1]Manganese Graphs'!K36</f>
        <v>0,262 (l/min)</v>
      </c>
      <c r="J3" s="1" t="str">
        <f>'[1]Manganese Graphs'!L36</f>
        <v>0,523 (l/min)</v>
      </c>
    </row>
    <row r="4" spans="1:19" x14ac:dyDescent="0.25">
      <c r="A4" s="1">
        <f>'[1]Manganese Graphs'!C37</f>
        <v>0</v>
      </c>
      <c r="B4" s="1" t="str">
        <f>'[1]Manganese Graphs'!D37</f>
        <v>1,67 (ml/min)</v>
      </c>
      <c r="C4" s="1" t="str">
        <f>'[1]Manganese Graphs'!E37</f>
        <v>2,52(ml/min)</v>
      </c>
      <c r="D4" s="1" t="str">
        <f>'[1]Manganese Graphs'!F37</f>
        <v>5,0 (ml/min)</v>
      </c>
      <c r="E4" s="1" t="str">
        <f>'[1]Manganese Graphs'!G37</f>
        <v>1,67 (ml/min)</v>
      </c>
      <c r="F4" s="1" t="str">
        <f>'[1]Manganese Graphs'!H37</f>
        <v>2,52(ml/min)</v>
      </c>
      <c r="G4" s="1" t="str">
        <f>'[1]Manganese Graphs'!I37</f>
        <v>5,0 (ml/min)</v>
      </c>
      <c r="H4" s="1" t="str">
        <f>'[1]Manganese Graphs'!J37</f>
        <v>1,67 (ml/min)</v>
      </c>
      <c r="I4" s="1" t="str">
        <f>'[1]Manganese Graphs'!K37</f>
        <v>2,52(ml/min)</v>
      </c>
      <c r="J4" s="1" t="str">
        <f>'[1]Manganese Graphs'!L37</f>
        <v>5,0 (ml/min)</v>
      </c>
    </row>
    <row r="5" spans="1:19" x14ac:dyDescent="0.25">
      <c r="A5">
        <f>'[1]Manganese Graphs'!C38</f>
        <v>10</v>
      </c>
      <c r="B5" s="2">
        <f>'[1]Manganese Graphs'!D38</f>
        <v>0.3</v>
      </c>
      <c r="C5" s="2">
        <f>'[1]Manganese Graphs'!E38</f>
        <v>0.2</v>
      </c>
      <c r="D5" s="2">
        <f>'[1]Manganese Graphs'!F38</f>
        <v>0.5</v>
      </c>
      <c r="E5" s="2">
        <f>'[1]Manganese Graphs'!G38</f>
        <v>0.53</v>
      </c>
      <c r="F5" s="2">
        <f>'[1]Manganese Graphs'!H38</f>
        <v>0.37</v>
      </c>
      <c r="G5" s="2">
        <f>'[1]Manganese Graphs'!I38</f>
        <v>0.5</v>
      </c>
      <c r="H5" s="2">
        <f>'[1]Manganese Graphs'!J38</f>
        <v>0.53333333333333333</v>
      </c>
      <c r="I5" s="2">
        <f>'[1]Manganese Graphs'!K38</f>
        <v>0.53333333333333333</v>
      </c>
      <c r="J5" s="2">
        <f>'[1]Manganese Graphs'!L38</f>
        <v>0.6333333333333333</v>
      </c>
    </row>
    <row r="6" spans="1:19" x14ac:dyDescent="0.25">
      <c r="A6">
        <f>'[1]Manganese Graphs'!C39</f>
        <v>20</v>
      </c>
      <c r="B6" s="2">
        <f>'[1]Manganese Graphs'!D39</f>
        <v>0.4</v>
      </c>
      <c r="C6" s="2">
        <f>'[1]Manganese Graphs'!E39</f>
        <v>0.2</v>
      </c>
      <c r="D6" s="2">
        <f>'[1]Manganese Graphs'!F39</f>
        <v>0.6</v>
      </c>
      <c r="E6" s="2">
        <f>'[1]Manganese Graphs'!G39</f>
        <v>0.5</v>
      </c>
      <c r="F6" s="2">
        <f>'[1]Manganese Graphs'!H39</f>
        <v>0.3</v>
      </c>
      <c r="G6" s="2">
        <f>'[1]Manganese Graphs'!I39</f>
        <v>0.6</v>
      </c>
      <c r="H6" s="2">
        <f>'[1]Manganese Graphs'!J39</f>
        <v>0.56666666666666676</v>
      </c>
      <c r="I6" s="2">
        <f>'[1]Manganese Graphs'!K39</f>
        <v>0.5</v>
      </c>
      <c r="J6" s="2">
        <f>'[1]Manganese Graphs'!L39</f>
        <v>0.5</v>
      </c>
    </row>
    <row r="7" spans="1:19" x14ac:dyDescent="0.25">
      <c r="A7">
        <f>'[1]Manganese Graphs'!C40</f>
        <v>30</v>
      </c>
      <c r="B7" s="2">
        <f>'[1]Manganese Graphs'!D40</f>
        <v>0.63</v>
      </c>
      <c r="C7" s="2">
        <f>'[1]Manganese Graphs'!E40</f>
        <v>0.37</v>
      </c>
      <c r="D7" s="2">
        <f>'[1]Manganese Graphs'!F40</f>
        <v>0.63</v>
      </c>
      <c r="E7" s="2">
        <f>'[1]Manganese Graphs'!G40</f>
        <v>0.5</v>
      </c>
      <c r="F7" s="2">
        <f>'[1]Manganese Graphs'!H40</f>
        <v>0.33</v>
      </c>
      <c r="G7" s="2">
        <f>'[1]Manganese Graphs'!I40</f>
        <v>0.63</v>
      </c>
      <c r="H7" s="2">
        <f>'[1]Manganese Graphs'!J40</f>
        <v>0.46666666666666662</v>
      </c>
      <c r="I7" s="2">
        <f>'[1]Manganese Graphs'!K40</f>
        <v>0.5</v>
      </c>
      <c r="J7" s="2">
        <f>'[1]Manganese Graphs'!L40</f>
        <v>0.56666666666666676</v>
      </c>
    </row>
    <row r="8" spans="1:19" x14ac:dyDescent="0.25">
      <c r="A8">
        <f>'[1]Manganese Graphs'!C41</f>
        <v>40</v>
      </c>
      <c r="B8" s="2">
        <f>'[1]Manganese Graphs'!D41</f>
        <v>0.6</v>
      </c>
      <c r="C8" s="2">
        <f>'[1]Manganese Graphs'!E41</f>
        <v>0.3</v>
      </c>
      <c r="D8" s="2">
        <f>'[1]Manganese Graphs'!F41</f>
        <v>0.6</v>
      </c>
      <c r="E8" s="2">
        <f>'[1]Manganese Graphs'!G41</f>
        <v>0.5</v>
      </c>
      <c r="F8" s="2">
        <f>'[1]Manganese Graphs'!H41</f>
        <v>0.4</v>
      </c>
      <c r="G8" s="2">
        <f>'[1]Manganese Graphs'!I41</f>
        <v>0.6</v>
      </c>
      <c r="H8" s="2">
        <f>'[1]Manganese Graphs'!J41</f>
        <v>0.33333333333333331</v>
      </c>
      <c r="I8" s="2">
        <f>'[1]Manganese Graphs'!K41</f>
        <v>0.5</v>
      </c>
      <c r="J8" s="2">
        <f>'[1]Manganese Graphs'!L41</f>
        <v>0.56666666666666676</v>
      </c>
    </row>
    <row r="9" spans="1:19" x14ac:dyDescent="0.25">
      <c r="A9">
        <f>'[1]Manganese Graphs'!C42</f>
        <v>50</v>
      </c>
      <c r="B9" s="2">
        <f>'[1]Manganese Graphs'!D42</f>
        <v>0.5</v>
      </c>
      <c r="C9" s="2">
        <f>'[1]Manganese Graphs'!E42</f>
        <v>0.3</v>
      </c>
      <c r="D9" s="2">
        <f>'[1]Manganese Graphs'!F42</f>
        <v>0.4</v>
      </c>
      <c r="E9" s="2">
        <f>'[1]Manganese Graphs'!G42</f>
        <v>0.5</v>
      </c>
      <c r="F9" s="2">
        <f>'[1]Manganese Graphs'!H42</f>
        <v>0.4</v>
      </c>
      <c r="G9" s="2">
        <f>'[1]Manganese Graphs'!I42</f>
        <v>0.4</v>
      </c>
      <c r="H9" s="2">
        <f>'[1]Manganese Graphs'!J42</f>
        <v>0.43333333333333335</v>
      </c>
      <c r="I9" s="2">
        <f>'[1]Manganese Graphs'!K42</f>
        <v>0.46666666666666662</v>
      </c>
      <c r="J9" s="2">
        <f>'[1]Manganese Graphs'!L42</f>
        <v>0.6333333333333333</v>
      </c>
    </row>
    <row r="10" spans="1:19" x14ac:dyDescent="0.25">
      <c r="A10">
        <f>'[1]Manganese Graphs'!C43</f>
        <v>60</v>
      </c>
      <c r="B10" s="2">
        <f>'[1]Manganese Graphs'!D43</f>
        <v>0.5</v>
      </c>
      <c r="C10" s="2">
        <f>'[1]Manganese Graphs'!E43</f>
        <v>0.37</v>
      </c>
      <c r="D10" s="2">
        <f>'[1]Manganese Graphs'!F43</f>
        <v>0.5</v>
      </c>
      <c r="E10" s="2">
        <f>'[1]Manganese Graphs'!G43</f>
        <v>0.47</v>
      </c>
      <c r="F10" s="2">
        <f>'[1]Manganese Graphs'!H43</f>
        <v>0.3</v>
      </c>
      <c r="G10" s="2">
        <f>'[1]Manganese Graphs'!I43</f>
        <v>0.5</v>
      </c>
      <c r="H10" s="2">
        <f>'[1]Manganese Graphs'!J43</f>
        <v>0.53333333333333333</v>
      </c>
      <c r="I10" s="2">
        <f>'[1]Manganese Graphs'!K43</f>
        <v>0.53333333333333333</v>
      </c>
      <c r="J10" s="2">
        <f>'[1]Manganese Graphs'!L43</f>
        <v>0.6</v>
      </c>
    </row>
    <row r="12" spans="1:19" x14ac:dyDescent="0.25">
      <c r="A12" s="1" t="s">
        <v>48</v>
      </c>
      <c r="B12" s="1" t="s">
        <v>40</v>
      </c>
      <c r="C12" s="1" t="s">
        <v>41</v>
      </c>
      <c r="D12" s="1" t="s">
        <v>43</v>
      </c>
      <c r="I12" s="1" t="s">
        <v>48</v>
      </c>
      <c r="J12" s="1" t="s">
        <v>40</v>
      </c>
      <c r="K12" s="1" t="s">
        <v>41</v>
      </c>
      <c r="L12" s="1" t="s">
        <v>43</v>
      </c>
      <c r="P12" s="1" t="s">
        <v>48</v>
      </c>
      <c r="Q12" s="1" t="s">
        <v>40</v>
      </c>
      <c r="R12" s="1" t="s">
        <v>41</v>
      </c>
      <c r="S12" s="1" t="s">
        <v>43</v>
      </c>
    </row>
    <row r="13" spans="1:19" x14ac:dyDescent="0.25">
      <c r="A13" s="1" t="s">
        <v>42</v>
      </c>
      <c r="B13">
        <f>B20/1000</f>
        <v>1.74E-4</v>
      </c>
      <c r="C13">
        <f>B13/B18</f>
        <v>1.6893203883495144E-2</v>
      </c>
      <c r="D13">
        <f>C13*100</f>
        <v>1.6893203883495145</v>
      </c>
      <c r="I13" s="1" t="s">
        <v>42</v>
      </c>
      <c r="J13">
        <f>J20/1000</f>
        <v>2.6200000000000003E-4</v>
      </c>
      <c r="K13">
        <f>J13/J18</f>
        <v>2.5436893203883499E-2</v>
      </c>
      <c r="L13">
        <f>K13*100</f>
        <v>2.5436893203883497</v>
      </c>
      <c r="P13" s="1" t="s">
        <v>42</v>
      </c>
      <c r="Q13">
        <f>Q20/1000</f>
        <v>5.2300000000000003E-4</v>
      </c>
      <c r="R13">
        <f>Q13/Q18</f>
        <v>5.0776699029126217E-2</v>
      </c>
      <c r="S13">
        <f>R13*100</f>
        <v>5.0776699029126213</v>
      </c>
    </row>
    <row r="14" spans="1:19" x14ac:dyDescent="0.25">
      <c r="A14" s="1" t="s">
        <v>49</v>
      </c>
      <c r="B14" s="5" t="s">
        <v>44</v>
      </c>
      <c r="C14" s="5" t="s">
        <v>45</v>
      </c>
      <c r="D14" s="5" t="s">
        <v>46</v>
      </c>
      <c r="I14" s="1" t="s">
        <v>49</v>
      </c>
      <c r="J14" s="5" t="s">
        <v>44</v>
      </c>
      <c r="K14" s="5" t="s">
        <v>45</v>
      </c>
      <c r="L14" s="5" t="s">
        <v>46</v>
      </c>
      <c r="P14" s="1" t="s">
        <v>49</v>
      </c>
      <c r="Q14" s="5" t="s">
        <v>44</v>
      </c>
      <c r="R14" s="5" t="s">
        <v>45</v>
      </c>
      <c r="S14" s="5" t="s">
        <v>46</v>
      </c>
    </row>
    <row r="16" spans="1:19" x14ac:dyDescent="0.25">
      <c r="A16" t="s">
        <v>21</v>
      </c>
      <c r="B16">
        <v>4501.7</v>
      </c>
      <c r="C16" t="s">
        <v>22</v>
      </c>
      <c r="I16" t="s">
        <v>21</v>
      </c>
      <c r="J16">
        <v>4501.7</v>
      </c>
      <c r="K16" t="s">
        <v>22</v>
      </c>
      <c r="P16" t="s">
        <v>21</v>
      </c>
      <c r="Q16">
        <v>4501.7</v>
      </c>
      <c r="R16" t="s">
        <v>22</v>
      </c>
    </row>
    <row r="17" spans="1:21" x14ac:dyDescent="0.25">
      <c r="A17" t="s">
        <v>23</v>
      </c>
      <c r="B17">
        <v>5.23</v>
      </c>
      <c r="C17" t="s">
        <v>24</v>
      </c>
      <c r="I17" t="s">
        <v>23</v>
      </c>
      <c r="J17">
        <v>5.23</v>
      </c>
      <c r="K17" t="s">
        <v>24</v>
      </c>
      <c r="P17" t="s">
        <v>23</v>
      </c>
      <c r="Q17">
        <v>5.23</v>
      </c>
      <c r="R17" t="s">
        <v>24</v>
      </c>
    </row>
    <row r="18" spans="1:21" ht="17.25" x14ac:dyDescent="0.25">
      <c r="A18" t="s">
        <v>39</v>
      </c>
      <c r="B18">
        <v>1.03E-2</v>
      </c>
      <c r="E18" s="1"/>
      <c r="I18" t="s">
        <v>39</v>
      </c>
      <c r="J18">
        <v>1.03E-2</v>
      </c>
      <c r="M18" s="1"/>
      <c r="P18" t="s">
        <v>39</v>
      </c>
      <c r="Q18">
        <v>1.03E-2</v>
      </c>
      <c r="T18" s="1"/>
    </row>
    <row r="19" spans="1:21" x14ac:dyDescent="0.25">
      <c r="A19" s="28">
        <v>6.5</v>
      </c>
      <c r="B19" s="28"/>
      <c r="C19" s="28"/>
      <c r="D19" s="28"/>
      <c r="E19" s="28"/>
      <c r="F19" s="28"/>
      <c r="I19" s="28">
        <v>6.5</v>
      </c>
      <c r="J19" s="28"/>
      <c r="K19" s="28"/>
      <c r="L19" s="28"/>
      <c r="M19" s="28"/>
      <c r="N19" s="28"/>
      <c r="P19" s="28">
        <v>6.5</v>
      </c>
      <c r="Q19" s="28"/>
      <c r="R19" s="28"/>
      <c r="S19" s="28"/>
      <c r="T19" s="28"/>
      <c r="U19" s="28"/>
    </row>
    <row r="20" spans="1:21" x14ac:dyDescent="0.25">
      <c r="A20" t="s">
        <v>37</v>
      </c>
      <c r="B20">
        <v>0.17399999999999999</v>
      </c>
      <c r="C20" s="7" t="s">
        <v>25</v>
      </c>
      <c r="E20" s="2"/>
      <c r="I20" t="s">
        <v>37</v>
      </c>
      <c r="J20">
        <v>0.26200000000000001</v>
      </c>
      <c r="K20" s="7" t="s">
        <v>27</v>
      </c>
      <c r="M20" s="2"/>
      <c r="P20" t="s">
        <v>37</v>
      </c>
      <c r="Q20">
        <v>0.52300000000000002</v>
      </c>
      <c r="R20" s="1" t="s">
        <v>29</v>
      </c>
      <c r="T20" s="2"/>
    </row>
    <row r="21" spans="1:21" x14ac:dyDescent="0.25">
      <c r="C21" s="7" t="s">
        <v>26</v>
      </c>
      <c r="E21" s="2"/>
      <c r="K21" s="7" t="s">
        <v>28</v>
      </c>
      <c r="M21" s="2"/>
      <c r="R21" s="6" t="s">
        <v>30</v>
      </c>
      <c r="T21" s="2"/>
    </row>
    <row r="22" spans="1:21" x14ac:dyDescent="0.25">
      <c r="D22" t="s">
        <v>4</v>
      </c>
      <c r="E22" t="s">
        <v>5</v>
      </c>
      <c r="L22" t="s">
        <v>4</v>
      </c>
      <c r="M22" t="s">
        <v>5</v>
      </c>
      <c r="S22" t="s">
        <v>4</v>
      </c>
      <c r="T22" t="s">
        <v>5</v>
      </c>
    </row>
    <row r="23" spans="1:21" ht="18" x14ac:dyDescent="0.35">
      <c r="A23" t="s">
        <v>0</v>
      </c>
      <c r="B23" t="s">
        <v>1</v>
      </c>
      <c r="C23" t="s">
        <v>2</v>
      </c>
      <c r="D23" t="s">
        <v>47</v>
      </c>
      <c r="F23" t="s">
        <v>50</v>
      </c>
      <c r="I23" t="s">
        <v>0</v>
      </c>
      <c r="J23" t="s">
        <v>1</v>
      </c>
      <c r="K23" t="s">
        <v>2</v>
      </c>
      <c r="L23" t="s">
        <v>47</v>
      </c>
      <c r="N23" t="s">
        <v>50</v>
      </c>
      <c r="P23" t="s">
        <v>0</v>
      </c>
      <c r="Q23" t="s">
        <v>1</v>
      </c>
      <c r="R23" t="s">
        <v>2</v>
      </c>
      <c r="S23" t="s">
        <v>47</v>
      </c>
      <c r="U23" t="s">
        <v>50</v>
      </c>
    </row>
    <row r="24" spans="1:21" ht="18" x14ac:dyDescent="0.35">
      <c r="A24">
        <v>10</v>
      </c>
      <c r="B24">
        <v>2.1</v>
      </c>
      <c r="C24" s="3">
        <f>B5</f>
        <v>0.3</v>
      </c>
      <c r="D24">
        <f>LN(C24/B24)</f>
        <v>-1.9459101490553135</v>
      </c>
      <c r="F24" t="s">
        <v>51</v>
      </c>
      <c r="I24">
        <v>10</v>
      </c>
      <c r="J24">
        <v>2.1</v>
      </c>
      <c r="K24" s="3">
        <f>C5</f>
        <v>0.2</v>
      </c>
      <c r="L24">
        <f>LN(K24/J24)</f>
        <v>-2.3513752571634776</v>
      </c>
      <c r="N24" t="s">
        <v>51</v>
      </c>
      <c r="P24">
        <v>10</v>
      </c>
      <c r="Q24">
        <v>2.1</v>
      </c>
      <c r="R24" s="3">
        <f>D5</f>
        <v>0.5</v>
      </c>
      <c r="S24">
        <f>LN(R24/Q24)</f>
        <v>-1.4350845252893227</v>
      </c>
      <c r="U24" t="s">
        <v>51</v>
      </c>
    </row>
    <row r="25" spans="1:21" ht="18" x14ac:dyDescent="0.35">
      <c r="A25">
        <v>20</v>
      </c>
      <c r="B25">
        <v>2.1</v>
      </c>
      <c r="C25" s="3">
        <f t="shared" ref="C25:C29" si="0">B6</f>
        <v>0.4</v>
      </c>
      <c r="D25">
        <f t="shared" ref="D25:D29" si="1">LN(C25/B25)</f>
        <v>-1.6582280766035324</v>
      </c>
      <c r="F25" s="4" t="s">
        <v>54</v>
      </c>
      <c r="I25">
        <v>20</v>
      </c>
      <c r="J25">
        <v>2.1</v>
      </c>
      <c r="K25" s="3">
        <f t="shared" ref="K25:K29" si="2">C6</f>
        <v>0.2</v>
      </c>
      <c r="L25">
        <f t="shared" ref="L25:L26" si="3">LN(K25/J25)</f>
        <v>-2.3513752571634776</v>
      </c>
      <c r="N25" s="4" t="s">
        <v>54</v>
      </c>
      <c r="P25">
        <v>20</v>
      </c>
      <c r="Q25">
        <v>2.1</v>
      </c>
      <c r="R25" s="3">
        <f t="shared" ref="R25:R29" si="4">D6</f>
        <v>0.6</v>
      </c>
      <c r="S25">
        <f>LN(R25/Q25)</f>
        <v>-1.2527629684953681</v>
      </c>
      <c r="U25" s="4" t="s">
        <v>54</v>
      </c>
    </row>
    <row r="26" spans="1:21" x14ac:dyDescent="0.25">
      <c r="A26">
        <v>30</v>
      </c>
      <c r="B26">
        <v>2.1</v>
      </c>
      <c r="C26" s="3">
        <f t="shared" si="0"/>
        <v>0.63</v>
      </c>
      <c r="D26">
        <f t="shared" si="1"/>
        <v>-1.2039728043259361</v>
      </c>
      <c r="F26" s="4" t="s">
        <v>52</v>
      </c>
      <c r="I26">
        <v>30</v>
      </c>
      <c r="J26">
        <v>2.1</v>
      </c>
      <c r="K26" s="3">
        <f t="shared" si="2"/>
        <v>0.37</v>
      </c>
      <c r="L26">
        <f t="shared" si="3"/>
        <v>-1.7361896180732443</v>
      </c>
      <c r="N26" s="4" t="s">
        <v>52</v>
      </c>
      <c r="P26">
        <v>30</v>
      </c>
      <c r="Q26">
        <v>2.1</v>
      </c>
      <c r="R26" s="3">
        <f t="shared" si="4"/>
        <v>0.63</v>
      </c>
      <c r="S26">
        <f t="shared" ref="S26" si="5">LN(R26/Q26)</f>
        <v>-1.2039728043259361</v>
      </c>
      <c r="U26" s="4" t="s">
        <v>52</v>
      </c>
    </row>
    <row r="27" spans="1:21" x14ac:dyDescent="0.25">
      <c r="A27">
        <v>40</v>
      </c>
      <c r="B27">
        <v>2.1</v>
      </c>
      <c r="C27" s="3">
        <f>B8</f>
        <v>0.6</v>
      </c>
      <c r="D27">
        <f>LN(C27/B27)</f>
        <v>-1.2527629684953681</v>
      </c>
      <c r="I27">
        <v>40</v>
      </c>
      <c r="J27">
        <v>2.1</v>
      </c>
      <c r="K27" s="3">
        <f t="shared" si="2"/>
        <v>0.3</v>
      </c>
      <c r="L27">
        <f>LN(K27/J27)</f>
        <v>-1.9459101490553135</v>
      </c>
      <c r="P27">
        <v>40</v>
      </c>
      <c r="Q27">
        <v>2.1</v>
      </c>
      <c r="R27" s="3">
        <f t="shared" si="4"/>
        <v>0.6</v>
      </c>
      <c r="S27">
        <f>LN(R27/Q27)</f>
        <v>-1.2527629684953681</v>
      </c>
    </row>
    <row r="28" spans="1:21" ht="18" x14ac:dyDescent="0.35">
      <c r="A28">
        <v>50</v>
      </c>
      <c r="B28">
        <v>2.1</v>
      </c>
      <c r="C28" s="3">
        <f t="shared" si="0"/>
        <v>0.5</v>
      </c>
      <c r="D28">
        <f t="shared" si="1"/>
        <v>-1.4350845252893227</v>
      </c>
      <c r="F28" t="s">
        <v>53</v>
      </c>
      <c r="I28">
        <v>50</v>
      </c>
      <c r="J28">
        <v>2.1</v>
      </c>
      <c r="K28" s="3">
        <f t="shared" si="2"/>
        <v>0.3</v>
      </c>
      <c r="L28">
        <f t="shared" ref="L28:L29" si="6">LN(K28/J28)</f>
        <v>-1.9459101490553135</v>
      </c>
      <c r="N28" t="s">
        <v>53</v>
      </c>
      <c r="P28">
        <v>50</v>
      </c>
      <c r="Q28">
        <v>2.1</v>
      </c>
      <c r="R28" s="3">
        <f t="shared" si="4"/>
        <v>0.4</v>
      </c>
      <c r="S28">
        <f t="shared" ref="S28:S29" si="7">LN(R28/Q28)</f>
        <v>-1.6582280766035324</v>
      </c>
      <c r="U28" t="s">
        <v>53</v>
      </c>
    </row>
    <row r="29" spans="1:21" x14ac:dyDescent="0.25">
      <c r="A29">
        <v>60</v>
      </c>
      <c r="B29">
        <v>2.1</v>
      </c>
      <c r="C29" s="3">
        <f t="shared" si="0"/>
        <v>0.5</v>
      </c>
      <c r="D29">
        <f t="shared" si="1"/>
        <v>-1.4350845252893227</v>
      </c>
      <c r="I29">
        <v>60</v>
      </c>
      <c r="J29">
        <v>2.1</v>
      </c>
      <c r="K29" s="3">
        <f t="shared" si="2"/>
        <v>0.37</v>
      </c>
      <c r="L29">
        <f t="shared" si="6"/>
        <v>-1.7361896180732443</v>
      </c>
      <c r="P29">
        <v>60</v>
      </c>
      <c r="Q29">
        <v>2.1</v>
      </c>
      <c r="R29" s="3">
        <f t="shared" si="4"/>
        <v>0.5</v>
      </c>
      <c r="S29">
        <f t="shared" si="7"/>
        <v>-1.4350845252893227</v>
      </c>
    </row>
    <row r="32" spans="1:21" ht="18" x14ac:dyDescent="0.35">
      <c r="A32" t="s">
        <v>6</v>
      </c>
      <c r="B32" t="s">
        <v>7</v>
      </c>
      <c r="C32" t="s">
        <v>8</v>
      </c>
      <c r="D32" s="4" t="s">
        <v>55</v>
      </c>
      <c r="I32" t="s">
        <v>6</v>
      </c>
      <c r="J32" t="s">
        <v>7</v>
      </c>
      <c r="K32" t="s">
        <v>8</v>
      </c>
      <c r="L32" s="4" t="s">
        <v>55</v>
      </c>
      <c r="P32" t="s">
        <v>6</v>
      </c>
      <c r="Q32" t="s">
        <v>7</v>
      </c>
      <c r="R32" t="s">
        <v>8</v>
      </c>
      <c r="S32" s="4" t="s">
        <v>55</v>
      </c>
    </row>
    <row r="33" spans="1:19" x14ac:dyDescent="0.25">
      <c r="A33">
        <f>SLOPE(D25:D29,A25:A29)</f>
        <v>2.1517538166503283E-3</v>
      </c>
      <c r="B33">
        <f>INTERCEPT(D25:D29,A25:A29)</f>
        <v>-1.4830967326667095</v>
      </c>
      <c r="C33">
        <f>A33/B24</f>
        <v>1.0246446745953944E-3</v>
      </c>
      <c r="D33">
        <f>((B33*D13)/(C33*50.8))</f>
        <v>-48.133174144785514</v>
      </c>
      <c r="I33">
        <f>SLOPE(L25:L29,I25:I29)</f>
        <v>1.0206507471983975E-2</v>
      </c>
      <c r="J33">
        <f>INTERCEPT(L25:L29,I25:I29)</f>
        <v>-2.3513752571634776</v>
      </c>
      <c r="K33">
        <f>I33/J24</f>
        <v>4.8602416533257021E-3</v>
      </c>
      <c r="L33">
        <f>((J33*L13)/(K33*50.8))</f>
        <v>-24.225036225313652</v>
      </c>
      <c r="P33">
        <f>SLOPE(S25:S29,P25:P29)</f>
        <v>-8.1889838586550572E-3</v>
      </c>
      <c r="Q33">
        <f>INTERCEPT(S25:S29,P25:P29)</f>
        <v>-1.0330029142957031</v>
      </c>
      <c r="R33">
        <f>P33/Q24</f>
        <v>-3.8995161231690748E-3</v>
      </c>
      <c r="S33">
        <f>((Q33*S13)/(R33*50.8))</f>
        <v>26.478390224820604</v>
      </c>
    </row>
    <row r="44" spans="1:19" x14ac:dyDescent="0.25">
      <c r="A44" s="1" t="s">
        <v>48</v>
      </c>
      <c r="B44" s="1" t="s">
        <v>40</v>
      </c>
      <c r="C44" s="1" t="s">
        <v>41</v>
      </c>
      <c r="D44" s="1" t="s">
        <v>43</v>
      </c>
      <c r="I44" s="1" t="s">
        <v>48</v>
      </c>
      <c r="J44" s="1" t="s">
        <v>40</v>
      </c>
      <c r="K44" s="1" t="s">
        <v>41</v>
      </c>
      <c r="L44" s="1" t="s">
        <v>43</v>
      </c>
    </row>
    <row r="45" spans="1:19" x14ac:dyDescent="0.25">
      <c r="A45" s="1" t="s">
        <v>42</v>
      </c>
      <c r="B45">
        <f>B52/1000</f>
        <v>1.74E-4</v>
      </c>
      <c r="C45">
        <f>B45/B50</f>
        <v>1.6893203883495144E-2</v>
      </c>
      <c r="D45">
        <f>C45*100</f>
        <v>1.6893203883495145</v>
      </c>
      <c r="I45" s="1" t="s">
        <v>42</v>
      </c>
      <c r="J45">
        <f>J52/1000</f>
        <v>2.6200000000000003E-4</v>
      </c>
      <c r="K45">
        <f>J45/J50</f>
        <v>2.5436893203883499E-2</v>
      </c>
      <c r="L45">
        <f>K45*100</f>
        <v>2.5436893203883497</v>
      </c>
      <c r="P45" s="1" t="s">
        <v>48</v>
      </c>
      <c r="Q45" s="1" t="s">
        <v>40</v>
      </c>
      <c r="R45" s="1" t="s">
        <v>41</v>
      </c>
      <c r="S45" s="1" t="s">
        <v>43</v>
      </c>
    </row>
    <row r="46" spans="1:19" x14ac:dyDescent="0.25">
      <c r="A46" s="1" t="s">
        <v>49</v>
      </c>
      <c r="B46" s="5" t="s">
        <v>44</v>
      </c>
      <c r="C46" s="5" t="s">
        <v>45</v>
      </c>
      <c r="D46" s="5" t="s">
        <v>46</v>
      </c>
      <c r="I46" s="1" t="s">
        <v>49</v>
      </c>
      <c r="J46" s="5" t="s">
        <v>44</v>
      </c>
      <c r="K46" s="5" t="s">
        <v>45</v>
      </c>
      <c r="L46" s="5" t="s">
        <v>46</v>
      </c>
      <c r="P46" s="1" t="s">
        <v>42</v>
      </c>
      <c r="Q46">
        <f>Q53/1000</f>
        <v>5.2300000000000003E-4</v>
      </c>
      <c r="R46">
        <f>Q46/Q51</f>
        <v>5.0776699029126217E-2</v>
      </c>
      <c r="S46">
        <f>R46*100</f>
        <v>5.0776699029126213</v>
      </c>
    </row>
    <row r="47" spans="1:19" x14ac:dyDescent="0.25">
      <c r="P47" s="1" t="s">
        <v>49</v>
      </c>
      <c r="Q47" s="5" t="s">
        <v>44</v>
      </c>
      <c r="R47" s="5" t="s">
        <v>45</v>
      </c>
      <c r="S47" s="5" t="s">
        <v>46</v>
      </c>
    </row>
    <row r="48" spans="1:19" x14ac:dyDescent="0.25">
      <c r="A48" t="s">
        <v>21</v>
      </c>
      <c r="B48">
        <v>4501.7</v>
      </c>
      <c r="C48" t="s">
        <v>22</v>
      </c>
      <c r="I48" t="s">
        <v>21</v>
      </c>
      <c r="J48">
        <v>4501.7</v>
      </c>
      <c r="K48" t="s">
        <v>22</v>
      </c>
    </row>
    <row r="49" spans="1:21" x14ac:dyDescent="0.25">
      <c r="A49" t="s">
        <v>23</v>
      </c>
      <c r="B49">
        <v>5.23</v>
      </c>
      <c r="C49" t="s">
        <v>24</v>
      </c>
      <c r="I49" t="s">
        <v>23</v>
      </c>
      <c r="J49">
        <v>5.23</v>
      </c>
      <c r="K49" t="s">
        <v>24</v>
      </c>
      <c r="P49" t="s">
        <v>21</v>
      </c>
      <c r="Q49">
        <v>4501.7</v>
      </c>
      <c r="R49" t="s">
        <v>22</v>
      </c>
    </row>
    <row r="50" spans="1:21" ht="17.25" x14ac:dyDescent="0.25">
      <c r="A50" t="s">
        <v>39</v>
      </c>
      <c r="B50">
        <v>1.03E-2</v>
      </c>
      <c r="E50" s="1"/>
      <c r="I50" t="s">
        <v>39</v>
      </c>
      <c r="J50">
        <v>1.03E-2</v>
      </c>
      <c r="M50" s="1"/>
      <c r="P50" t="s">
        <v>23</v>
      </c>
      <c r="Q50">
        <v>5.23</v>
      </c>
      <c r="R50" t="s">
        <v>24</v>
      </c>
    </row>
    <row r="51" spans="1:21" ht="17.25" x14ac:dyDescent="0.25">
      <c r="A51" s="28">
        <v>6.5</v>
      </c>
      <c r="B51" s="28"/>
      <c r="C51" s="28"/>
      <c r="D51" s="28"/>
      <c r="E51" s="28"/>
      <c r="F51" s="28"/>
      <c r="I51" s="28">
        <v>6.5</v>
      </c>
      <c r="J51" s="28"/>
      <c r="K51" s="28"/>
      <c r="L51" s="28"/>
      <c r="M51" s="28"/>
      <c r="N51" s="28"/>
      <c r="P51" t="s">
        <v>39</v>
      </c>
      <c r="Q51">
        <v>1.03E-2</v>
      </c>
      <c r="T51" s="1"/>
    </row>
    <row r="52" spans="1:21" x14ac:dyDescent="0.25">
      <c r="A52" t="s">
        <v>37</v>
      </c>
      <c r="B52">
        <v>0.17399999999999999</v>
      </c>
      <c r="C52" s="7" t="s">
        <v>25</v>
      </c>
      <c r="E52" s="2"/>
      <c r="I52" t="s">
        <v>37</v>
      </c>
      <c r="J52">
        <v>0.26200000000000001</v>
      </c>
      <c r="K52" s="7" t="s">
        <v>27</v>
      </c>
      <c r="M52" s="2"/>
      <c r="P52" s="28">
        <v>6.5</v>
      </c>
      <c r="Q52" s="28"/>
      <c r="R52" s="28"/>
      <c r="S52" s="28"/>
      <c r="T52" s="28"/>
      <c r="U52" s="28"/>
    </row>
    <row r="53" spans="1:21" x14ac:dyDescent="0.25">
      <c r="C53" s="7" t="s">
        <v>26</v>
      </c>
      <c r="E53" s="2"/>
      <c r="K53" s="7" t="s">
        <v>28</v>
      </c>
      <c r="M53" s="2"/>
      <c r="P53" t="s">
        <v>37</v>
      </c>
      <c r="Q53">
        <v>0.52300000000000002</v>
      </c>
      <c r="R53" s="7" t="s">
        <v>29</v>
      </c>
      <c r="T53" s="2"/>
    </row>
    <row r="54" spans="1:21" x14ac:dyDescent="0.25">
      <c r="D54" t="s">
        <v>4</v>
      </c>
      <c r="E54" t="s">
        <v>5</v>
      </c>
      <c r="L54" t="s">
        <v>4</v>
      </c>
      <c r="M54" t="s">
        <v>5</v>
      </c>
      <c r="R54" s="7" t="s">
        <v>30</v>
      </c>
      <c r="T54" s="2"/>
    </row>
    <row r="55" spans="1:21" ht="18" x14ac:dyDescent="0.35">
      <c r="A55" t="s">
        <v>0</v>
      </c>
      <c r="B55" t="s">
        <v>1</v>
      </c>
      <c r="C55" t="s">
        <v>2</v>
      </c>
      <c r="D55" t="s">
        <v>47</v>
      </c>
      <c r="F55" t="s">
        <v>50</v>
      </c>
      <c r="I55" t="s">
        <v>0</v>
      </c>
      <c r="J55" t="s">
        <v>1</v>
      </c>
      <c r="K55" t="s">
        <v>2</v>
      </c>
      <c r="L55" t="s">
        <v>47</v>
      </c>
      <c r="N55" t="s">
        <v>50</v>
      </c>
      <c r="S55" t="s">
        <v>4</v>
      </c>
      <c r="T55" t="s">
        <v>5</v>
      </c>
    </row>
    <row r="56" spans="1:21" ht="18" x14ac:dyDescent="0.35">
      <c r="A56">
        <v>10</v>
      </c>
      <c r="B56">
        <v>2.1</v>
      </c>
      <c r="C56" s="3">
        <f>E5</f>
        <v>0.53</v>
      </c>
      <c r="D56">
        <f>LN(C56/B56)</f>
        <v>-1.3768156171653469</v>
      </c>
      <c r="F56" t="s">
        <v>51</v>
      </c>
      <c r="I56">
        <v>10</v>
      </c>
      <c r="J56">
        <v>2.1</v>
      </c>
      <c r="K56" s="3">
        <f>F5</f>
        <v>0.37</v>
      </c>
      <c r="L56">
        <f>LN(K56/J56)</f>
        <v>-1.7361896180732443</v>
      </c>
      <c r="N56" t="s">
        <v>51</v>
      </c>
      <c r="P56" t="s">
        <v>0</v>
      </c>
      <c r="Q56" t="s">
        <v>1</v>
      </c>
      <c r="R56" t="s">
        <v>2</v>
      </c>
      <c r="S56" t="s">
        <v>47</v>
      </c>
      <c r="U56" t="s">
        <v>50</v>
      </c>
    </row>
    <row r="57" spans="1:21" ht="18" x14ac:dyDescent="0.35">
      <c r="A57">
        <v>20</v>
      </c>
      <c r="B57">
        <v>2.1</v>
      </c>
      <c r="C57" s="3">
        <f t="shared" ref="C57:C61" si="8">E6</f>
        <v>0.5</v>
      </c>
      <c r="D57">
        <f t="shared" ref="D57:D58" si="9">LN(C57/B57)</f>
        <v>-1.4350845252893227</v>
      </c>
      <c r="F57" s="4" t="s">
        <v>54</v>
      </c>
      <c r="I57">
        <v>20</v>
      </c>
      <c r="J57">
        <v>2.1</v>
      </c>
      <c r="K57" s="3">
        <f t="shared" ref="K57:K61" si="10">F6</f>
        <v>0.3</v>
      </c>
      <c r="L57">
        <f t="shared" ref="L57:L58" si="11">LN(K57/J57)</f>
        <v>-1.9459101490553135</v>
      </c>
      <c r="N57" s="4" t="s">
        <v>54</v>
      </c>
      <c r="P57">
        <v>10</v>
      </c>
      <c r="Q57">
        <v>2.1</v>
      </c>
      <c r="R57" s="3">
        <f>G5</f>
        <v>0.5</v>
      </c>
      <c r="S57">
        <f>LN(R57/Q57)</f>
        <v>-1.4350845252893227</v>
      </c>
      <c r="U57" t="s">
        <v>51</v>
      </c>
    </row>
    <row r="58" spans="1:21" ht="18" x14ac:dyDescent="0.35">
      <c r="A58">
        <v>30</v>
      </c>
      <c r="B58">
        <v>2.1</v>
      </c>
      <c r="C58" s="3">
        <f t="shared" si="8"/>
        <v>0.5</v>
      </c>
      <c r="D58">
        <f t="shared" si="9"/>
        <v>-1.4350845252893227</v>
      </c>
      <c r="F58" s="4" t="s">
        <v>52</v>
      </c>
      <c r="I58">
        <v>30</v>
      </c>
      <c r="J58">
        <v>2.1</v>
      </c>
      <c r="K58" s="3">
        <f t="shared" si="10"/>
        <v>0.33</v>
      </c>
      <c r="L58">
        <f t="shared" si="11"/>
        <v>-1.8505999692509885</v>
      </c>
      <c r="N58" s="4" t="s">
        <v>52</v>
      </c>
      <c r="P58">
        <v>20</v>
      </c>
      <c r="Q58">
        <v>2.1</v>
      </c>
      <c r="R58" s="3">
        <f t="shared" ref="R58:R62" si="12">G6</f>
        <v>0.6</v>
      </c>
      <c r="S58">
        <f t="shared" ref="S58:S59" si="13">LN(R58/Q58)</f>
        <v>-1.2527629684953681</v>
      </c>
      <c r="U58" s="4" t="s">
        <v>54</v>
      </c>
    </row>
    <row r="59" spans="1:21" x14ac:dyDescent="0.25">
      <c r="A59">
        <v>40</v>
      </c>
      <c r="B59">
        <v>2.1</v>
      </c>
      <c r="C59" s="3">
        <f t="shared" si="8"/>
        <v>0.5</v>
      </c>
      <c r="D59">
        <f>LN(C59/B59)</f>
        <v>-1.4350845252893227</v>
      </c>
      <c r="I59">
        <v>40</v>
      </c>
      <c r="J59">
        <v>2.1</v>
      </c>
      <c r="K59" s="3">
        <f t="shared" si="10"/>
        <v>0.4</v>
      </c>
      <c r="L59">
        <f>LN(K59/J59)</f>
        <v>-1.6582280766035324</v>
      </c>
      <c r="P59">
        <v>30</v>
      </c>
      <c r="Q59">
        <v>2.1</v>
      </c>
      <c r="R59" s="3">
        <f t="shared" si="12"/>
        <v>0.63</v>
      </c>
      <c r="S59">
        <f t="shared" si="13"/>
        <v>-1.2039728043259361</v>
      </c>
      <c r="U59" s="4" t="s">
        <v>52</v>
      </c>
    </row>
    <row r="60" spans="1:21" ht="18" x14ac:dyDescent="0.35">
      <c r="A60">
        <v>50</v>
      </c>
      <c r="B60">
        <v>2.1</v>
      </c>
      <c r="C60" s="3">
        <f t="shared" si="8"/>
        <v>0.5</v>
      </c>
      <c r="D60">
        <f t="shared" ref="D60:D61" si="14">LN(C60/B60)</f>
        <v>-1.4350845252893227</v>
      </c>
      <c r="F60" t="s">
        <v>53</v>
      </c>
      <c r="I60">
        <v>50</v>
      </c>
      <c r="J60">
        <v>2.1</v>
      </c>
      <c r="K60" s="3">
        <f t="shared" si="10"/>
        <v>0.4</v>
      </c>
      <c r="L60">
        <f t="shared" ref="L60:L61" si="15">LN(K60/J60)</f>
        <v>-1.6582280766035324</v>
      </c>
      <c r="N60" t="s">
        <v>53</v>
      </c>
      <c r="P60">
        <v>40</v>
      </c>
      <c r="Q60">
        <v>2.1</v>
      </c>
      <c r="R60" s="3">
        <f t="shared" si="12"/>
        <v>0.6</v>
      </c>
      <c r="S60">
        <f>LN(R60/Q60)</f>
        <v>-1.2527629684953681</v>
      </c>
    </row>
    <row r="61" spans="1:21" ht="18" x14ac:dyDescent="0.35">
      <c r="A61">
        <v>60</v>
      </c>
      <c r="B61">
        <v>2.1</v>
      </c>
      <c r="C61" s="3">
        <f t="shared" si="8"/>
        <v>0.47</v>
      </c>
      <c r="D61">
        <f t="shared" si="14"/>
        <v>-1.4969599290074103</v>
      </c>
      <c r="I61">
        <v>60</v>
      </c>
      <c r="J61">
        <v>2.1</v>
      </c>
      <c r="K61" s="3">
        <f t="shared" si="10"/>
        <v>0.3</v>
      </c>
      <c r="L61">
        <f t="shared" si="15"/>
        <v>-1.9459101490553135</v>
      </c>
      <c r="P61">
        <v>50</v>
      </c>
      <c r="Q61">
        <v>2.1</v>
      </c>
      <c r="R61" s="3">
        <f t="shared" si="12"/>
        <v>0.4</v>
      </c>
      <c r="S61">
        <f t="shared" ref="S61:S62" si="16">LN(R61/Q61)</f>
        <v>-1.6582280766035324</v>
      </c>
      <c r="U61" t="s">
        <v>53</v>
      </c>
    </row>
    <row r="62" spans="1:21" x14ac:dyDescent="0.25">
      <c r="P62">
        <v>60</v>
      </c>
      <c r="Q62">
        <v>2.1</v>
      </c>
      <c r="R62" s="3">
        <f t="shared" si="12"/>
        <v>0.5</v>
      </c>
      <c r="S62">
        <f t="shared" si="16"/>
        <v>-1.4350845252893227</v>
      </c>
    </row>
    <row r="64" spans="1:21" ht="18" x14ac:dyDescent="0.35">
      <c r="A64" t="s">
        <v>6</v>
      </c>
      <c r="B64" t="s">
        <v>7</v>
      </c>
      <c r="C64" t="s">
        <v>8</v>
      </c>
      <c r="D64" s="4" t="s">
        <v>55</v>
      </c>
      <c r="I64" t="s">
        <v>6</v>
      </c>
      <c r="J64" t="s">
        <v>7</v>
      </c>
      <c r="K64" t="s">
        <v>8</v>
      </c>
      <c r="L64" s="4" t="s">
        <v>55</v>
      </c>
    </row>
    <row r="65" spans="1:19" ht="18" x14ac:dyDescent="0.35">
      <c r="A65">
        <f>SLOPE(D57:D61,A57:A61)</f>
        <v>-1.2375080743617505E-3</v>
      </c>
      <c r="B65">
        <f>INTERCEPT(D57:D61,A57:A61)</f>
        <v>-1.3979592830584702</v>
      </c>
      <c r="C65">
        <f>A65/B56</f>
        <v>-5.8928955921988112E-4</v>
      </c>
      <c r="D65">
        <f>((B65*D45)/(C65*50.8))</f>
        <v>78.888570611291854</v>
      </c>
      <c r="I65">
        <f>SLOPE(L57:L61,I57:I61)</f>
        <v>1.9237189264745603E-3</v>
      </c>
      <c r="J65">
        <f>INTERCEPT(L57:L61,I57:I61)</f>
        <v>-1.8887240411727184</v>
      </c>
      <c r="K65">
        <f>I65/J56</f>
        <v>9.160566316545525E-4</v>
      </c>
      <c r="L65">
        <f>((J65*L45)/(K65*50.8))</f>
        <v>-103.23965383052916</v>
      </c>
      <c r="P65" t="s">
        <v>6</v>
      </c>
      <c r="Q65" t="s">
        <v>7</v>
      </c>
      <c r="R65" t="s">
        <v>8</v>
      </c>
      <c r="S65" s="4" t="s">
        <v>55</v>
      </c>
    </row>
    <row r="66" spans="1:19" x14ac:dyDescent="0.25">
      <c r="P66">
        <f>SLOPE(S58:S62,P58:P62)</f>
        <v>-8.1889838586550572E-3</v>
      </c>
      <c r="Q66">
        <f>INTERCEPT(S58:S62,P58:P62)</f>
        <v>-1.0330029142957031</v>
      </c>
      <c r="R66">
        <f>P66/Q57</f>
        <v>-3.8995161231690748E-3</v>
      </c>
      <c r="S66">
        <f>((Q66*S46)/(R66*50.8))</f>
        <v>26.478390224820604</v>
      </c>
    </row>
    <row r="82" spans="1:21" x14ac:dyDescent="0.25">
      <c r="A82" s="1" t="s">
        <v>48</v>
      </c>
      <c r="B82" s="1" t="s">
        <v>40</v>
      </c>
      <c r="C82" s="1" t="s">
        <v>41</v>
      </c>
      <c r="D82" s="1" t="s">
        <v>43</v>
      </c>
      <c r="I82" s="1" t="s">
        <v>48</v>
      </c>
      <c r="J82" s="1" t="s">
        <v>40</v>
      </c>
      <c r="K82" s="1" t="s">
        <v>41</v>
      </c>
      <c r="L82" s="1" t="s">
        <v>43</v>
      </c>
      <c r="P82" s="1" t="s">
        <v>48</v>
      </c>
      <c r="Q82" s="1" t="s">
        <v>40</v>
      </c>
      <c r="R82" s="1" t="s">
        <v>41</v>
      </c>
      <c r="S82" s="1" t="s">
        <v>43</v>
      </c>
    </row>
    <row r="83" spans="1:21" x14ac:dyDescent="0.25">
      <c r="A83" s="1" t="s">
        <v>42</v>
      </c>
      <c r="B83">
        <f>B90/1000</f>
        <v>1.74E-4</v>
      </c>
      <c r="C83">
        <f>B83/B88</f>
        <v>1.6893203883495144E-2</v>
      </c>
      <c r="D83">
        <f>C83*100</f>
        <v>1.6893203883495145</v>
      </c>
      <c r="I83" s="1" t="s">
        <v>42</v>
      </c>
      <c r="J83">
        <f>J90/1000</f>
        <v>2.6200000000000003E-4</v>
      </c>
      <c r="K83">
        <f>J83/J88</f>
        <v>2.5436893203883499E-2</v>
      </c>
      <c r="L83">
        <f>K83*100</f>
        <v>2.5436893203883497</v>
      </c>
      <c r="P83" s="1" t="s">
        <v>42</v>
      </c>
      <c r="Q83">
        <f>Q90/1000</f>
        <v>5.2300000000000003E-4</v>
      </c>
      <c r="R83">
        <f>Q83/Q88</f>
        <v>5.0776699029126217E-2</v>
      </c>
      <c r="S83">
        <f>R83*100</f>
        <v>5.0776699029126213</v>
      </c>
    </row>
    <row r="84" spans="1:21" x14ac:dyDescent="0.25">
      <c r="A84" s="1" t="s">
        <v>49</v>
      </c>
      <c r="B84" s="5" t="s">
        <v>44</v>
      </c>
      <c r="C84" s="5" t="s">
        <v>45</v>
      </c>
      <c r="D84" s="5" t="s">
        <v>46</v>
      </c>
      <c r="I84" s="1" t="s">
        <v>49</v>
      </c>
      <c r="J84" s="5" t="s">
        <v>44</v>
      </c>
      <c r="K84" s="5" t="s">
        <v>45</v>
      </c>
      <c r="L84" s="5" t="s">
        <v>46</v>
      </c>
      <c r="P84" s="1" t="s">
        <v>49</v>
      </c>
      <c r="Q84" s="5" t="s">
        <v>44</v>
      </c>
      <c r="R84" s="5" t="s">
        <v>45</v>
      </c>
      <c r="S84" s="5" t="s">
        <v>46</v>
      </c>
    </row>
    <row r="86" spans="1:21" x14ac:dyDescent="0.25">
      <c r="A86" t="s">
        <v>21</v>
      </c>
      <c r="B86">
        <v>4501.7</v>
      </c>
      <c r="C86" t="s">
        <v>22</v>
      </c>
      <c r="I86" t="s">
        <v>21</v>
      </c>
      <c r="J86">
        <v>4501.7</v>
      </c>
      <c r="K86" t="s">
        <v>22</v>
      </c>
      <c r="P86" t="s">
        <v>21</v>
      </c>
      <c r="Q86">
        <v>4501.7</v>
      </c>
      <c r="R86" t="s">
        <v>22</v>
      </c>
    </row>
    <row r="87" spans="1:21" x14ac:dyDescent="0.25">
      <c r="A87" t="s">
        <v>23</v>
      </c>
      <c r="B87">
        <v>5.23</v>
      </c>
      <c r="C87" t="s">
        <v>24</v>
      </c>
      <c r="I87" t="s">
        <v>23</v>
      </c>
      <c r="J87">
        <v>5.23</v>
      </c>
      <c r="K87" t="s">
        <v>24</v>
      </c>
      <c r="P87" t="s">
        <v>23</v>
      </c>
      <c r="Q87">
        <v>5.23</v>
      </c>
      <c r="R87" t="s">
        <v>24</v>
      </c>
    </row>
    <row r="88" spans="1:21" ht="17.25" x14ac:dyDescent="0.25">
      <c r="A88" t="s">
        <v>39</v>
      </c>
      <c r="B88">
        <v>1.03E-2</v>
      </c>
      <c r="E88" s="1"/>
      <c r="I88" t="s">
        <v>39</v>
      </c>
      <c r="J88">
        <v>1.03E-2</v>
      </c>
      <c r="M88" s="1"/>
      <c r="P88" t="s">
        <v>39</v>
      </c>
      <c r="Q88">
        <v>1.03E-2</v>
      </c>
      <c r="T88" s="1"/>
    </row>
    <row r="89" spans="1:21" x14ac:dyDescent="0.25">
      <c r="A89" s="28">
        <v>6.5</v>
      </c>
      <c r="B89" s="28"/>
      <c r="C89" s="28"/>
      <c r="D89" s="28"/>
      <c r="E89" s="28"/>
      <c r="F89" s="28"/>
      <c r="I89" s="28">
        <v>6.5</v>
      </c>
      <c r="J89" s="28"/>
      <c r="K89" s="28"/>
      <c r="L89" s="28"/>
      <c r="M89" s="28"/>
      <c r="N89" s="28"/>
      <c r="P89" s="28">
        <v>6.5</v>
      </c>
      <c r="Q89" s="28"/>
      <c r="R89" s="28"/>
      <c r="S89" s="28"/>
      <c r="T89" s="28"/>
      <c r="U89" s="28"/>
    </row>
    <row r="90" spans="1:21" x14ac:dyDescent="0.25">
      <c r="A90" t="s">
        <v>37</v>
      </c>
      <c r="B90">
        <v>0.17399999999999999</v>
      </c>
      <c r="C90" s="7" t="s">
        <v>25</v>
      </c>
      <c r="E90" s="2"/>
      <c r="I90" t="s">
        <v>37</v>
      </c>
      <c r="J90">
        <v>0.26200000000000001</v>
      </c>
      <c r="K90" s="7" t="s">
        <v>27</v>
      </c>
      <c r="M90" s="2"/>
      <c r="P90" t="s">
        <v>37</v>
      </c>
      <c r="Q90">
        <v>0.52300000000000002</v>
      </c>
      <c r="R90" s="7" t="s">
        <v>29</v>
      </c>
      <c r="T90" s="2"/>
    </row>
    <row r="91" spans="1:21" x14ac:dyDescent="0.25">
      <c r="C91" s="7" t="s">
        <v>26</v>
      </c>
      <c r="E91" s="2"/>
      <c r="K91" s="7" t="s">
        <v>28</v>
      </c>
      <c r="M91" s="2"/>
      <c r="R91" s="7" t="s">
        <v>30</v>
      </c>
      <c r="T91" s="2"/>
    </row>
    <row r="92" spans="1:21" x14ac:dyDescent="0.25">
      <c r="D92" t="s">
        <v>4</v>
      </c>
      <c r="E92" t="s">
        <v>5</v>
      </c>
      <c r="L92" t="s">
        <v>4</v>
      </c>
      <c r="M92" t="s">
        <v>5</v>
      </c>
      <c r="S92" t="s">
        <v>4</v>
      </c>
      <c r="T92" t="s">
        <v>5</v>
      </c>
    </row>
    <row r="93" spans="1:21" ht="18" x14ac:dyDescent="0.35">
      <c r="A93" t="s">
        <v>0</v>
      </c>
      <c r="B93" t="s">
        <v>1</v>
      </c>
      <c r="C93" t="s">
        <v>2</v>
      </c>
      <c r="D93" t="s">
        <v>47</v>
      </c>
      <c r="F93" t="s">
        <v>50</v>
      </c>
      <c r="I93" t="s">
        <v>0</v>
      </c>
      <c r="J93" t="s">
        <v>1</v>
      </c>
      <c r="K93" t="s">
        <v>2</v>
      </c>
      <c r="L93" t="s">
        <v>47</v>
      </c>
      <c r="N93" t="s">
        <v>50</v>
      </c>
      <c r="P93" t="s">
        <v>0</v>
      </c>
      <c r="Q93" t="s">
        <v>1</v>
      </c>
      <c r="R93" t="s">
        <v>2</v>
      </c>
      <c r="S93" t="s">
        <v>47</v>
      </c>
      <c r="U93" t="s">
        <v>50</v>
      </c>
    </row>
    <row r="94" spans="1:21" ht="18" x14ac:dyDescent="0.35">
      <c r="A94">
        <v>10</v>
      </c>
      <c r="B94">
        <v>2.1</v>
      </c>
      <c r="C94" s="3">
        <f>H5</f>
        <v>0.53333333333333333</v>
      </c>
      <c r="D94">
        <f>LN(C94/B94)</f>
        <v>-1.3705460041517514</v>
      </c>
      <c r="F94" t="s">
        <v>51</v>
      </c>
      <c r="I94">
        <v>10</v>
      </c>
      <c r="J94">
        <v>2.1</v>
      </c>
      <c r="K94" s="3">
        <f>I5</f>
        <v>0.53333333333333333</v>
      </c>
      <c r="L94">
        <f>LN(K94/J94)</f>
        <v>-1.3705460041517514</v>
      </c>
      <c r="N94" t="s">
        <v>51</v>
      </c>
      <c r="P94">
        <v>10</v>
      </c>
      <c r="Q94">
        <v>2.1</v>
      </c>
      <c r="R94" s="3">
        <f>J5</f>
        <v>0.6333333333333333</v>
      </c>
      <c r="S94">
        <f>LN(R94/Q94)</f>
        <v>-1.1986957472250923</v>
      </c>
      <c r="U94" t="s">
        <v>51</v>
      </c>
    </row>
    <row r="95" spans="1:21" ht="18" x14ac:dyDescent="0.35">
      <c r="A95">
        <v>20</v>
      </c>
      <c r="B95">
        <v>2.1</v>
      </c>
      <c r="C95" s="3">
        <f t="shared" ref="C95:C99" si="17">H6</f>
        <v>0.56666666666666676</v>
      </c>
      <c r="D95">
        <f t="shared" ref="D95:D96" si="18">LN(C95/B95)</f>
        <v>-1.3099213823353164</v>
      </c>
      <c r="F95" s="4" t="s">
        <v>54</v>
      </c>
      <c r="I95">
        <v>20</v>
      </c>
      <c r="J95">
        <v>2.1</v>
      </c>
      <c r="K95" s="3">
        <f t="shared" ref="K95:K99" si="19">I6</f>
        <v>0.5</v>
      </c>
      <c r="L95">
        <f t="shared" ref="L95:L96" si="20">LN(K95/J95)</f>
        <v>-1.4350845252893227</v>
      </c>
      <c r="N95" s="4" t="s">
        <v>54</v>
      </c>
      <c r="P95">
        <v>20</v>
      </c>
      <c r="Q95">
        <v>2.1</v>
      </c>
      <c r="R95" s="3">
        <f t="shared" ref="R95:R99" si="21">J6</f>
        <v>0.5</v>
      </c>
      <c r="S95">
        <f t="shared" ref="S95:S96" si="22">LN(R95/Q95)</f>
        <v>-1.4350845252893227</v>
      </c>
      <c r="U95" s="4" t="s">
        <v>54</v>
      </c>
    </row>
    <row r="96" spans="1:21" x14ac:dyDescent="0.25">
      <c r="A96">
        <v>30</v>
      </c>
      <c r="B96">
        <v>2.1</v>
      </c>
      <c r="C96" s="3">
        <f t="shared" si="17"/>
        <v>0.46666666666666662</v>
      </c>
      <c r="D96">
        <f t="shared" si="18"/>
        <v>-1.5040773967762742</v>
      </c>
      <c r="F96" s="4" t="s">
        <v>52</v>
      </c>
      <c r="I96">
        <v>30</v>
      </c>
      <c r="J96">
        <v>2.1</v>
      </c>
      <c r="K96" s="3">
        <f t="shared" si="19"/>
        <v>0.5</v>
      </c>
      <c r="L96">
        <f t="shared" si="20"/>
        <v>-1.4350845252893227</v>
      </c>
      <c r="N96" s="4" t="s">
        <v>52</v>
      </c>
      <c r="P96">
        <v>30</v>
      </c>
      <c r="Q96">
        <v>2.1</v>
      </c>
      <c r="R96" s="3">
        <f t="shared" si="21"/>
        <v>0.56666666666666676</v>
      </c>
      <c r="S96">
        <f t="shared" si="22"/>
        <v>-1.3099213823353164</v>
      </c>
      <c r="U96" s="4" t="s">
        <v>52</v>
      </c>
    </row>
    <row r="97" spans="1:21" x14ac:dyDescent="0.25">
      <c r="A97">
        <v>40</v>
      </c>
      <c r="B97">
        <v>2.1</v>
      </c>
      <c r="C97" s="3">
        <f t="shared" si="17"/>
        <v>0.33333333333333331</v>
      </c>
      <c r="D97">
        <f>LN(C97/B97)</f>
        <v>-1.8405496333974871</v>
      </c>
      <c r="I97">
        <v>40</v>
      </c>
      <c r="J97">
        <v>2.1</v>
      </c>
      <c r="K97" s="3">
        <f t="shared" si="19"/>
        <v>0.5</v>
      </c>
      <c r="L97">
        <f>LN(K97/J97)</f>
        <v>-1.4350845252893227</v>
      </c>
      <c r="P97">
        <v>40</v>
      </c>
      <c r="Q97">
        <v>2.1</v>
      </c>
      <c r="R97" s="3">
        <f t="shared" si="21"/>
        <v>0.56666666666666676</v>
      </c>
      <c r="S97">
        <f>LN(R97/Q97)</f>
        <v>-1.3099213823353164</v>
      </c>
    </row>
    <row r="98" spans="1:21" ht="18" x14ac:dyDescent="0.35">
      <c r="A98">
        <v>50</v>
      </c>
      <c r="B98">
        <v>2.1</v>
      </c>
      <c r="C98" s="3">
        <f t="shared" si="17"/>
        <v>0.43333333333333335</v>
      </c>
      <c r="D98">
        <f t="shared" ref="D98:D99" si="23">LN(C98/B98)</f>
        <v>-1.5781853689299961</v>
      </c>
      <c r="F98" t="s">
        <v>53</v>
      </c>
      <c r="I98">
        <v>50</v>
      </c>
      <c r="J98">
        <v>2.1</v>
      </c>
      <c r="K98" s="3">
        <f t="shared" si="19"/>
        <v>0.46666666666666662</v>
      </c>
      <c r="L98">
        <f t="shared" ref="L98:L99" si="24">LN(K98/J98)</f>
        <v>-1.5040773967762742</v>
      </c>
      <c r="N98" t="s">
        <v>53</v>
      </c>
      <c r="P98">
        <v>50</v>
      </c>
      <c r="Q98">
        <v>2.1</v>
      </c>
      <c r="R98" s="3">
        <f t="shared" si="21"/>
        <v>0.6333333333333333</v>
      </c>
      <c r="S98">
        <f t="shared" ref="S98:S99" si="25">LN(R98/Q98)</f>
        <v>-1.1986957472250923</v>
      </c>
      <c r="U98" t="s">
        <v>53</v>
      </c>
    </row>
    <row r="99" spans="1:21" x14ac:dyDescent="0.25">
      <c r="A99">
        <v>60</v>
      </c>
      <c r="B99">
        <v>2.1</v>
      </c>
      <c r="C99" s="3">
        <f t="shared" si="17"/>
        <v>0.53333333333333333</v>
      </c>
      <c r="D99">
        <f t="shared" si="23"/>
        <v>-1.3705460041517514</v>
      </c>
      <c r="I99">
        <v>60</v>
      </c>
      <c r="J99">
        <v>2.1</v>
      </c>
      <c r="K99" s="3">
        <f t="shared" si="19"/>
        <v>0.53333333333333333</v>
      </c>
      <c r="L99">
        <f t="shared" si="24"/>
        <v>-1.3705460041517514</v>
      </c>
      <c r="P99">
        <v>60</v>
      </c>
      <c r="Q99">
        <v>2.1</v>
      </c>
      <c r="R99" s="3">
        <f t="shared" si="21"/>
        <v>0.6</v>
      </c>
      <c r="S99">
        <f t="shared" si="25"/>
        <v>-1.2527629684953681</v>
      </c>
    </row>
    <row r="102" spans="1:21" ht="18" x14ac:dyDescent="0.35">
      <c r="A102" t="s">
        <v>6</v>
      </c>
      <c r="B102" t="s">
        <v>7</v>
      </c>
      <c r="C102" t="s">
        <v>8</v>
      </c>
      <c r="D102" s="4" t="s">
        <v>55</v>
      </c>
      <c r="I102" t="s">
        <v>6</v>
      </c>
      <c r="J102" t="s">
        <v>7</v>
      </c>
      <c r="K102" t="s">
        <v>8</v>
      </c>
      <c r="L102" s="4" t="s">
        <v>55</v>
      </c>
      <c r="P102" t="s">
        <v>6</v>
      </c>
      <c r="Q102" t="s">
        <v>7</v>
      </c>
      <c r="R102" t="s">
        <v>8</v>
      </c>
      <c r="S102" s="4" t="s">
        <v>55</v>
      </c>
    </row>
    <row r="103" spans="1:21" x14ac:dyDescent="0.25">
      <c r="A103">
        <f>SLOPE(D95:D99,A95:A99)</f>
        <v>-1.9535721578659189E-3</v>
      </c>
      <c r="B103">
        <f>INTERCEPT(D95:D99,A95:A99)</f>
        <v>-1.4425130708035283</v>
      </c>
      <c r="C103">
        <f>A103/B94</f>
        <v>-9.30272456126628E-4</v>
      </c>
      <c r="D103">
        <f>((B103*D83)/(C103*50.8))</f>
        <v>51.56534241091402</v>
      </c>
      <c r="I103">
        <f>SLOPE(L95:L99,I95:I99)</f>
        <v>6.0084170788191169E-4</v>
      </c>
      <c r="J103">
        <f>INTERCEPT(L95:L99,I95:I99)</f>
        <v>-1.4600090636744751</v>
      </c>
      <c r="K103">
        <f>I103/J94</f>
        <v>2.8611509899138652E-4</v>
      </c>
      <c r="L103">
        <f>((J103*L83)/(K103*50.8))</f>
        <v>-255.51425195188742</v>
      </c>
      <c r="P103">
        <f>SLOPE(S95:S99,P95:P99)</f>
        <v>4.7586874869813348E-3</v>
      </c>
      <c r="Q103">
        <f>INTERCEPT(S95:S99,P95:P99)</f>
        <v>-1.4916247006153365</v>
      </c>
      <c r="R103">
        <f>P103/Q94</f>
        <v>2.2660416604673023E-3</v>
      </c>
      <c r="S103">
        <f>((Q103*S83)/(R103*50.8))</f>
        <v>-65.794929873491839</v>
      </c>
    </row>
  </sheetData>
  <mergeCells count="13">
    <mergeCell ref="P19:U19"/>
    <mergeCell ref="A51:F51"/>
    <mergeCell ref="I51:N51"/>
    <mergeCell ref="P52:U52"/>
    <mergeCell ref="A89:F89"/>
    <mergeCell ref="I89:N89"/>
    <mergeCell ref="P89:U89"/>
    <mergeCell ref="A1:J1"/>
    <mergeCell ref="B2:D2"/>
    <mergeCell ref="E2:G2"/>
    <mergeCell ref="H2:J2"/>
    <mergeCell ref="A19:F19"/>
    <mergeCell ref="I19:N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5"/>
  <sheetViews>
    <sheetView tabSelected="1" topLeftCell="A52" workbookViewId="0">
      <selection activeCell="N79" sqref="N79"/>
    </sheetView>
  </sheetViews>
  <sheetFormatPr defaultRowHeight="15" x14ac:dyDescent="0.25"/>
  <cols>
    <col min="1" max="2" width="10.7109375" bestFit="1" customWidth="1"/>
    <col min="3" max="3" width="13.140625" bestFit="1" customWidth="1"/>
    <col min="4" max="4" width="12.5703125" bestFit="1" customWidth="1"/>
    <col min="5" max="5" width="12.28515625" bestFit="1" customWidth="1"/>
    <col min="6" max="6" width="13.140625" bestFit="1" customWidth="1"/>
    <col min="7" max="8" width="13.7109375" bestFit="1" customWidth="1"/>
    <col min="9" max="9" width="13.140625" bestFit="1" customWidth="1"/>
    <col min="10" max="10" width="12.5703125" bestFit="1" customWidth="1"/>
    <col min="11" max="11" width="12.28515625" bestFit="1" customWidth="1"/>
    <col min="20" max="20" width="13.7109375" bestFit="1" customWidth="1"/>
    <col min="22" max="22" width="12" bestFit="1" customWidth="1"/>
    <col min="32" max="32" width="10" customWidth="1"/>
    <col min="33" max="34" width="13.7109375" bestFit="1" customWidth="1"/>
    <col min="35" max="35" width="12" bestFit="1" customWidth="1"/>
  </cols>
  <sheetData>
    <row r="1" spans="1:38" x14ac:dyDescent="0.25">
      <c r="A1" s="28" t="str">
        <f>'[1]Iron Graphs'!A34</f>
        <v>Iron (mg/l)</v>
      </c>
      <c r="B1" s="28"/>
      <c r="C1" s="28"/>
      <c r="D1" s="28"/>
      <c r="E1" s="28"/>
      <c r="F1" s="28"/>
      <c r="G1" s="28"/>
      <c r="H1" s="28"/>
      <c r="I1" s="28"/>
      <c r="J1" s="28"/>
    </row>
    <row r="2" spans="1:38" x14ac:dyDescent="0.25">
      <c r="A2" s="1" t="str">
        <f>'[1]Iron Graphs'!A35</f>
        <v>Time (min)</v>
      </c>
      <c r="B2" s="28">
        <f>'[1]Iron Graphs'!B35</f>
        <v>6.5</v>
      </c>
      <c r="C2" s="28"/>
      <c r="D2" s="28"/>
      <c r="E2" s="28">
        <f>'[1]Iron Graphs'!E35</f>
        <v>7.5</v>
      </c>
      <c r="F2" s="28"/>
      <c r="G2" s="28"/>
      <c r="H2" s="28">
        <f>'[1]Iron Graphs'!H35</f>
        <v>8.5</v>
      </c>
      <c r="I2" s="28"/>
      <c r="J2" s="28"/>
    </row>
    <row r="3" spans="1:38" x14ac:dyDescent="0.25">
      <c r="A3" s="1"/>
      <c r="B3" s="1" t="str">
        <f>'[1]Iron Graphs'!B36</f>
        <v>0,174 (l/min)</v>
      </c>
      <c r="C3" s="1" t="str">
        <f>'[1]Iron Graphs'!C36</f>
        <v>0,262 (l/min)</v>
      </c>
      <c r="D3" s="1" t="str">
        <f>'[1]Iron Graphs'!D36</f>
        <v>0,523 (l/min)</v>
      </c>
      <c r="E3" s="1" t="str">
        <f>'[1]Iron Graphs'!E36</f>
        <v>0,174 (l/min)</v>
      </c>
      <c r="F3" s="1" t="str">
        <f>'[1]Iron Graphs'!F36</f>
        <v>0,262 (l/min)</v>
      </c>
      <c r="G3" s="1" t="str">
        <f>'[1]Iron Graphs'!G36</f>
        <v>0,523 (l/min)</v>
      </c>
      <c r="H3" s="1" t="str">
        <f>'[1]Iron Graphs'!H36</f>
        <v>0,174 (l/min)</v>
      </c>
      <c r="I3" s="1" t="str">
        <f>'[1]Iron Graphs'!I36</f>
        <v>0,262 (l/min)</v>
      </c>
      <c r="J3" s="1" t="str">
        <f>'[1]Iron Graphs'!J36</f>
        <v>0,523 (l/min)</v>
      </c>
    </row>
    <row r="4" spans="1:38" x14ac:dyDescent="0.25">
      <c r="B4" s="2" t="str">
        <f>'[1]Iron Graphs'!B37</f>
        <v>1,67 (ml/min)</v>
      </c>
      <c r="C4" s="2" t="str">
        <f>'[1]Iron Graphs'!C37</f>
        <v>2,52(ml/min)</v>
      </c>
      <c r="D4" s="2" t="str">
        <f>'[1]Iron Graphs'!D37</f>
        <v>5,0 (ml/min)</v>
      </c>
      <c r="E4" s="2" t="str">
        <f>'[1]Iron Graphs'!E37</f>
        <v>1,67 (ml/min)</v>
      </c>
      <c r="F4" s="2" t="str">
        <f>'[1]Iron Graphs'!F37</f>
        <v>2,52(ml/min)</v>
      </c>
      <c r="G4" s="2" t="str">
        <f>'[1]Iron Graphs'!G37</f>
        <v>5,0 (ml/min)</v>
      </c>
      <c r="H4" s="2" t="str">
        <f>'[1]Iron Graphs'!H37</f>
        <v>1,67 (ml/min)</v>
      </c>
      <c r="I4" s="2" t="str">
        <f>'[1]Iron Graphs'!I37</f>
        <v>2,52(ml/min)</v>
      </c>
      <c r="J4" s="2" t="str">
        <f>'[1]Iron Graphs'!J37</f>
        <v>5,0 (ml/min)</v>
      </c>
    </row>
    <row r="5" spans="1:38" x14ac:dyDescent="0.25">
      <c r="A5">
        <f>'[1]Iron Graphs'!A38</f>
        <v>10</v>
      </c>
      <c r="B5" s="2">
        <f>'[1]Iron Graphs'!B38</f>
        <v>2.5</v>
      </c>
      <c r="C5" s="2">
        <f>'[1]Iron Graphs'!C38</f>
        <v>2.8</v>
      </c>
      <c r="D5" s="2">
        <f>'[1]Iron Graphs'!D38</f>
        <v>2.2000000000000002</v>
      </c>
      <c r="E5" s="2">
        <f>'[1]Iron Graphs'!E38</f>
        <v>1.6</v>
      </c>
      <c r="F5" s="2">
        <f>'[1]Iron Graphs'!F38</f>
        <v>1.63</v>
      </c>
      <c r="G5" s="2">
        <f>'[1]Iron Graphs'!G38</f>
        <v>1.6</v>
      </c>
      <c r="H5" s="2">
        <f>'[1]Iron Graphs'!H38</f>
        <v>1.8966666666666665</v>
      </c>
      <c r="I5" s="2">
        <f>'[1]Iron Graphs'!I38</f>
        <v>1.8</v>
      </c>
      <c r="J5" s="2">
        <f>'[1]Iron Graphs'!J38</f>
        <v>1.8466666666666667</v>
      </c>
    </row>
    <row r="6" spans="1:38" x14ac:dyDescent="0.25">
      <c r="A6">
        <f>'[1]Iron Graphs'!A39</f>
        <v>20</v>
      </c>
      <c r="B6" s="2">
        <f>'[1]Iron Graphs'!B39</f>
        <v>1.24</v>
      </c>
      <c r="C6" s="2">
        <f>'[1]Iron Graphs'!C39</f>
        <v>2.6</v>
      </c>
      <c r="D6" s="2">
        <f>'[1]Iron Graphs'!D39</f>
        <v>2.2000000000000002</v>
      </c>
      <c r="E6" s="2">
        <f>'[1]Iron Graphs'!E39</f>
        <v>1.1100000000000001</v>
      </c>
      <c r="F6" s="2">
        <f>'[1]Iron Graphs'!F39</f>
        <v>1.2</v>
      </c>
      <c r="G6" s="2">
        <f>'[1]Iron Graphs'!G39</f>
        <v>1.5</v>
      </c>
      <c r="H6" s="2">
        <f>'[1]Iron Graphs'!H39</f>
        <v>0.90666666666666673</v>
      </c>
      <c r="I6" s="2">
        <f>'[1]Iron Graphs'!I39</f>
        <v>1.2766666666666666</v>
      </c>
      <c r="J6" s="2">
        <f>'[1]Iron Graphs'!J39</f>
        <v>1.1399999999999999</v>
      </c>
    </row>
    <row r="7" spans="1:38" x14ac:dyDescent="0.25">
      <c r="A7">
        <f>'[1]Iron Graphs'!A40</f>
        <v>30</v>
      </c>
      <c r="B7" s="2">
        <f>'[1]Iron Graphs'!B40</f>
        <v>1.07</v>
      </c>
      <c r="C7" s="2">
        <f>'[1]Iron Graphs'!C40</f>
        <v>2.38</v>
      </c>
      <c r="D7" s="2">
        <f>'[1]Iron Graphs'!D40</f>
        <v>2.29</v>
      </c>
      <c r="E7" s="2">
        <f>'[1]Iron Graphs'!E40</f>
        <v>0.54</v>
      </c>
      <c r="F7" s="2">
        <f>'[1]Iron Graphs'!F40</f>
        <v>0.89</v>
      </c>
      <c r="G7" s="2">
        <f>'[1]Iron Graphs'!G40</f>
        <v>1.24</v>
      </c>
      <c r="H7" s="2">
        <f>'[1]Iron Graphs'!H40</f>
        <v>0.34999999999999992</v>
      </c>
      <c r="I7" s="2">
        <f>'[1]Iron Graphs'!I40</f>
        <v>0.93666666666666665</v>
      </c>
      <c r="J7" s="2">
        <f>'[1]Iron Graphs'!J40</f>
        <v>1.01</v>
      </c>
    </row>
    <row r="8" spans="1:38" x14ac:dyDescent="0.25">
      <c r="A8">
        <f>'[1]Iron Graphs'!A41</f>
        <v>40</v>
      </c>
      <c r="B8" s="2">
        <f>'[1]Iron Graphs'!B41</f>
        <v>1.1000000000000001</v>
      </c>
      <c r="C8" s="2">
        <f>'[1]Iron Graphs'!C41</f>
        <v>1.8</v>
      </c>
      <c r="D8" s="2">
        <f>'[1]Iron Graphs'!D41</f>
        <v>2.2000000000000002</v>
      </c>
      <c r="E8" s="2">
        <f>'[1]Iron Graphs'!E41</f>
        <v>0.44</v>
      </c>
      <c r="F8" s="2">
        <f>'[1]Iron Graphs'!F41</f>
        <v>0.9</v>
      </c>
      <c r="G8" s="2">
        <f>'[1]Iron Graphs'!G41</f>
        <v>1.2</v>
      </c>
      <c r="H8" s="2">
        <f>'[1]Iron Graphs'!H41</f>
        <v>0.19666666666666668</v>
      </c>
      <c r="I8" s="2">
        <f>'[1]Iron Graphs'!I41</f>
        <v>0.71333333333333326</v>
      </c>
      <c r="J8" s="2">
        <f>'[1]Iron Graphs'!J41</f>
        <v>0.65666666666666673</v>
      </c>
    </row>
    <row r="9" spans="1:38" x14ac:dyDescent="0.25">
      <c r="A9">
        <f>'[1]Iron Graphs'!A42</f>
        <v>50</v>
      </c>
      <c r="B9" s="2">
        <f>'[1]Iron Graphs'!B42</f>
        <v>1.1499999999999999</v>
      </c>
      <c r="C9" s="2">
        <f>'[1]Iron Graphs'!C42</f>
        <v>2</v>
      </c>
      <c r="D9" s="2">
        <f>'[1]Iron Graphs'!D42</f>
        <v>2.4</v>
      </c>
      <c r="E9" s="2">
        <f>'[1]Iron Graphs'!E42</f>
        <v>0.45</v>
      </c>
      <c r="F9" s="2">
        <f>'[1]Iron Graphs'!F42</f>
        <v>0.9</v>
      </c>
      <c r="G9" s="2">
        <f>'[1]Iron Graphs'!G42</f>
        <v>1.1000000000000001</v>
      </c>
      <c r="H9" s="2">
        <f>'[1]Iron Graphs'!H42</f>
        <v>0.18333333333333335</v>
      </c>
      <c r="I9" s="2">
        <f>'[1]Iron Graphs'!I42</f>
        <v>0.57999999999999996</v>
      </c>
      <c r="J9" s="2">
        <f>'[1]Iron Graphs'!J42</f>
        <v>0.58333333333333337</v>
      </c>
    </row>
    <row r="10" spans="1:38" x14ac:dyDescent="0.25">
      <c r="A10">
        <f>'[1]Iron Graphs'!A43</f>
        <v>60</v>
      </c>
      <c r="B10" s="2">
        <f>'[1]Iron Graphs'!B43</f>
        <v>1.3</v>
      </c>
      <c r="C10" s="2">
        <f>'[1]Iron Graphs'!C43</f>
        <v>1.71</v>
      </c>
      <c r="D10" s="2">
        <f>'[1]Iron Graphs'!D43</f>
        <v>2.56</v>
      </c>
      <c r="E10" s="2">
        <f>'[1]Iron Graphs'!E43</f>
        <v>0.42</v>
      </c>
      <c r="F10" s="2">
        <f>'[1]Iron Graphs'!F43</f>
        <v>0.89</v>
      </c>
      <c r="G10" s="2">
        <f>'[1]Iron Graphs'!G43</f>
        <v>1.1100000000000001</v>
      </c>
      <c r="H10" s="2">
        <f>'[1]Iron Graphs'!H43</f>
        <v>0.1466666666666667</v>
      </c>
      <c r="I10" s="2">
        <f>'[1]Iron Graphs'!I43</f>
        <v>0.54333333333333333</v>
      </c>
      <c r="J10" s="2">
        <f>'[1]Iron Graphs'!J43</f>
        <v>0.60666666666666658</v>
      </c>
    </row>
    <row r="14" spans="1:38" x14ac:dyDescent="0.25">
      <c r="A14" s="28" t="s">
        <v>56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 t="s">
        <v>56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AA14" s="28" t="s">
        <v>56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x14ac:dyDescent="0.25">
      <c r="B15" s="28" t="s">
        <v>57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O15" s="28" t="s">
        <v>57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AB15" s="28" t="s">
        <v>57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x14ac:dyDescent="0.25">
      <c r="B16" s="28" t="s">
        <v>58</v>
      </c>
      <c r="C16" s="28"/>
      <c r="D16" s="28"/>
      <c r="E16" s="13" t="s">
        <v>59</v>
      </c>
      <c r="I16" s="1" t="s">
        <v>5</v>
      </c>
      <c r="K16" s="1" t="s">
        <v>59</v>
      </c>
      <c r="O16" s="28" t="s">
        <v>58</v>
      </c>
      <c r="P16" s="28"/>
      <c r="Q16" s="28"/>
      <c r="R16" s="13" t="s">
        <v>59</v>
      </c>
      <c r="V16" s="1" t="s">
        <v>5</v>
      </c>
      <c r="X16" s="1" t="s">
        <v>59</v>
      </c>
      <c r="AB16" s="28" t="s">
        <v>58</v>
      </c>
      <c r="AC16" s="28"/>
      <c r="AD16" s="28"/>
      <c r="AE16" s="13" t="s">
        <v>59</v>
      </c>
      <c r="AI16" s="1" t="s">
        <v>5</v>
      </c>
      <c r="AK16" s="1" t="s">
        <v>59</v>
      </c>
    </row>
    <row r="17" spans="1:38" x14ac:dyDescent="0.25">
      <c r="B17" s="9"/>
      <c r="C17" s="9" t="s">
        <v>25</v>
      </c>
      <c r="D17" s="9"/>
      <c r="E17" s="13"/>
      <c r="I17" s="1"/>
      <c r="K17" s="1"/>
      <c r="O17" s="9"/>
      <c r="P17" s="1" t="s">
        <v>27</v>
      </c>
      <c r="Q17" s="9"/>
      <c r="R17" s="13"/>
      <c r="V17" s="1"/>
      <c r="X17" s="1"/>
      <c r="AB17" s="9"/>
      <c r="AC17" s="1" t="s">
        <v>29</v>
      </c>
      <c r="AD17" s="9"/>
      <c r="AE17" s="13"/>
      <c r="AI17" s="1"/>
      <c r="AK17" s="1"/>
    </row>
    <row r="18" spans="1:38" x14ac:dyDescent="0.25">
      <c r="B18" s="9"/>
      <c r="C18" s="9" t="s">
        <v>26</v>
      </c>
      <c r="D18" s="9"/>
      <c r="E18" s="13"/>
      <c r="H18" t="s">
        <v>77</v>
      </c>
      <c r="I18" s="1"/>
      <c r="K18" s="1"/>
      <c r="O18" s="9"/>
      <c r="P18" s="6" t="s">
        <v>28</v>
      </c>
      <c r="Q18" s="9"/>
      <c r="R18" s="13"/>
      <c r="U18" t="s">
        <v>77</v>
      </c>
      <c r="V18" s="1"/>
      <c r="X18" s="1"/>
      <c r="AB18" s="9"/>
      <c r="AC18" s="6" t="s">
        <v>30</v>
      </c>
      <c r="AD18" s="9"/>
      <c r="AE18" s="13"/>
      <c r="AH18" t="s">
        <v>77</v>
      </c>
      <c r="AI18" s="1"/>
      <c r="AK18" s="1"/>
    </row>
    <row r="19" spans="1:38" ht="18" x14ac:dyDescent="0.35">
      <c r="A19" s="7" t="s">
        <v>0</v>
      </c>
      <c r="B19" t="s">
        <v>1</v>
      </c>
      <c r="C19" t="s">
        <v>2</v>
      </c>
      <c r="D19" s="10" t="s">
        <v>71</v>
      </c>
      <c r="E19" t="s">
        <v>60</v>
      </c>
      <c r="H19" t="s">
        <v>76</v>
      </c>
      <c r="I19" s="10" t="s">
        <v>72</v>
      </c>
      <c r="K19" t="s">
        <v>61</v>
      </c>
      <c r="N19" s="7" t="s">
        <v>0</v>
      </c>
      <c r="O19" t="s">
        <v>1</v>
      </c>
      <c r="P19" t="s">
        <v>2</v>
      </c>
      <c r="Q19" s="10" t="s">
        <v>71</v>
      </c>
      <c r="R19" t="s">
        <v>60</v>
      </c>
      <c r="U19" t="s">
        <v>76</v>
      </c>
      <c r="V19" s="10" t="s">
        <v>72</v>
      </c>
      <c r="X19" t="s">
        <v>61</v>
      </c>
      <c r="AA19" s="7" t="s">
        <v>0</v>
      </c>
      <c r="AB19" t="s">
        <v>1</v>
      </c>
      <c r="AC19" t="s">
        <v>2</v>
      </c>
      <c r="AD19" s="10" t="s">
        <v>71</v>
      </c>
      <c r="AE19" t="s">
        <v>60</v>
      </c>
      <c r="AH19" t="s">
        <v>76</v>
      </c>
      <c r="AI19" s="10" t="s">
        <v>72</v>
      </c>
      <c r="AK19" t="s">
        <v>61</v>
      </c>
    </row>
    <row r="20" spans="1:38" x14ac:dyDescent="0.25">
      <c r="A20">
        <v>10</v>
      </c>
      <c r="B20">
        <v>2.1</v>
      </c>
      <c r="C20" s="3">
        <f>B5</f>
        <v>2.5</v>
      </c>
      <c r="D20">
        <f>C20/B20</f>
        <v>1.1904761904761905</v>
      </c>
      <c r="E20">
        <f t="shared" ref="E20:E25" si="0">LN(C20)</f>
        <v>0.91629073187415511</v>
      </c>
      <c r="F20">
        <f>(D20-$D$28)^2</f>
        <v>1.4172335600907029</v>
      </c>
      <c r="G20" t="s">
        <v>62</v>
      </c>
      <c r="H20">
        <f>B20/C20</f>
        <v>0.84000000000000008</v>
      </c>
      <c r="I20">
        <f>(1/(1+EXP($G$36*($G$37-A20))))</f>
        <v>5.5679550115332687E-53</v>
      </c>
      <c r="K20">
        <f>(D20-I20)^2</f>
        <v>1.4172335600907029</v>
      </c>
      <c r="N20">
        <v>10</v>
      </c>
      <c r="O20">
        <v>2.1</v>
      </c>
      <c r="P20" s="3">
        <f>C5</f>
        <v>2.8</v>
      </c>
      <c r="Q20">
        <f>P20/O20</f>
        <v>1.3333333333333333</v>
      </c>
      <c r="R20">
        <f t="shared" ref="R20:R25" si="1">LN(P20)</f>
        <v>1.0296194171811581</v>
      </c>
      <c r="S20">
        <f>(Q20-$D$28)^2</f>
        <v>1.7777777777777777</v>
      </c>
      <c r="T20" t="s">
        <v>62</v>
      </c>
      <c r="U20">
        <f>O20/P20</f>
        <v>0.75000000000000011</v>
      </c>
      <c r="V20">
        <f>(1/(1+EXP($T$36*($T$37-N20))))</f>
        <v>1.7521062344329999E-39</v>
      </c>
      <c r="X20">
        <f>(Q20-V20)^2</f>
        <v>1.7777777777777777</v>
      </c>
      <c r="AA20">
        <v>10</v>
      </c>
      <c r="AB20">
        <v>2.1</v>
      </c>
      <c r="AC20" s="3">
        <f>D5</f>
        <v>2.2000000000000002</v>
      </c>
      <c r="AD20">
        <f>AC20/AB20</f>
        <v>1.0476190476190477</v>
      </c>
      <c r="AE20">
        <f t="shared" ref="AE20:AE25" si="2">LN(AC20)</f>
        <v>0.78845736036427028</v>
      </c>
      <c r="AF20">
        <f>(AD20-$D$28)^2</f>
        <v>1.0975056689342404</v>
      </c>
      <c r="AG20" t="s">
        <v>62</v>
      </c>
      <c r="AH20">
        <f>AC20/AB20</f>
        <v>1.0476190476190477</v>
      </c>
      <c r="AI20">
        <f>(1/(1+EXP($AG$36*($AG$37-AA20))))</f>
        <v>2.2173863549960113E-45</v>
      </c>
      <c r="AK20">
        <f>(AD20-AI20)^2</f>
        <v>1.0975056689342404</v>
      </c>
    </row>
    <row r="21" spans="1:38" x14ac:dyDescent="0.25">
      <c r="A21">
        <v>20</v>
      </c>
      <c r="B21">
        <v>2.1</v>
      </c>
      <c r="C21" s="3">
        <f t="shared" ref="C21:C25" si="3">B6</f>
        <v>1.24</v>
      </c>
      <c r="D21">
        <f t="shared" ref="D21:D25" si="4">C21/B21</f>
        <v>0.59047619047619049</v>
      </c>
      <c r="E21">
        <f t="shared" si="0"/>
        <v>0.21511137961694549</v>
      </c>
      <c r="F21">
        <f t="shared" ref="F21:F25" si="5">(D21-$D$28)^2</f>
        <v>0.34866213151927439</v>
      </c>
      <c r="H21">
        <f t="shared" ref="H21:H25" si="6">B21/C21</f>
        <v>1.6935483870967742</v>
      </c>
      <c r="I21">
        <f t="shared" ref="I21:I25" si="7">(1/(1+EXP($G$36*($G$37-A21))))</f>
        <v>1.4322089287293792E-108</v>
      </c>
      <c r="K21">
        <f t="shared" ref="K21:K25" si="8">(D21-I21)^2</f>
        <v>0.34866213151927439</v>
      </c>
      <c r="N21">
        <v>20</v>
      </c>
      <c r="O21">
        <v>2.1</v>
      </c>
      <c r="P21" s="3">
        <f t="shared" ref="P21:P25" si="9">C6</f>
        <v>2.6</v>
      </c>
      <c r="Q21">
        <f t="shared" ref="Q21:Q25" si="10">P21/O21</f>
        <v>1.2380952380952381</v>
      </c>
      <c r="R21">
        <f t="shared" si="1"/>
        <v>0.95551144502743635</v>
      </c>
      <c r="S21">
        <f t="shared" ref="S21:S25" si="11">(Q21-$D$28)^2</f>
        <v>1.5328798185941044</v>
      </c>
      <c r="U21">
        <f t="shared" ref="U21:U25" si="12">O21/P21</f>
        <v>0.80769230769230771</v>
      </c>
      <c r="V21">
        <f t="shared" ref="V21:V25" si="13">(1/(1+EXP($T$36*($T$37-N21))))</f>
        <v>1.9429789693428108E-79</v>
      </c>
      <c r="X21">
        <f t="shared" ref="X21:X25" si="14">(Q21-V21)^2</f>
        <v>1.5328798185941044</v>
      </c>
      <c r="AA21">
        <v>20</v>
      </c>
      <c r="AB21">
        <v>2.1</v>
      </c>
      <c r="AC21" s="3">
        <f t="shared" ref="AC21:AC25" si="15">D6</f>
        <v>2.2000000000000002</v>
      </c>
      <c r="AD21">
        <f t="shared" ref="AD21:AD25" si="16">AC21/AB21</f>
        <v>1.0476190476190477</v>
      </c>
      <c r="AE21">
        <f t="shared" si="2"/>
        <v>0.78845736036427028</v>
      </c>
      <c r="AF21">
        <f t="shared" ref="AF21:AF25" si="17">(AD21-$D$28)^2</f>
        <v>1.0975056689342404</v>
      </c>
      <c r="AH21">
        <f t="shared" ref="AH21:AH25" si="18">AC21/AB21</f>
        <v>1.0476190476190477</v>
      </c>
      <c r="AI21">
        <f t="shared" ref="AI21:AI25" si="19">(1/(1+EXP($AG$36*($AG$37-AA21))))</f>
        <v>2.0446844255616111E-91</v>
      </c>
      <c r="AK21">
        <f t="shared" ref="AK21:AK25" si="20">(AD21-AI21)^2</f>
        <v>1.0975056689342404</v>
      </c>
    </row>
    <row r="22" spans="1:38" x14ac:dyDescent="0.25">
      <c r="A22">
        <v>30</v>
      </c>
      <c r="B22">
        <v>2.1</v>
      </c>
      <c r="C22" s="3">
        <f t="shared" si="3"/>
        <v>1.07</v>
      </c>
      <c r="D22">
        <f t="shared" si="4"/>
        <v>0.50952380952380949</v>
      </c>
      <c r="E22">
        <f t="shared" si="0"/>
        <v>6.7658648473814864E-2</v>
      </c>
      <c r="F22">
        <f t="shared" si="5"/>
        <v>0.25961451247165529</v>
      </c>
      <c r="H22">
        <f t="shared" si="6"/>
        <v>1.9626168224299065</v>
      </c>
      <c r="I22">
        <f t="shared" si="7"/>
        <v>3.6839780696563715E-164</v>
      </c>
      <c r="K22">
        <f t="shared" si="8"/>
        <v>0.25961451247165529</v>
      </c>
      <c r="N22">
        <v>30</v>
      </c>
      <c r="O22">
        <v>2.1</v>
      </c>
      <c r="P22" s="3">
        <f t="shared" si="9"/>
        <v>2.38</v>
      </c>
      <c r="Q22">
        <f t="shared" si="10"/>
        <v>1.1333333333333333</v>
      </c>
      <c r="R22">
        <f t="shared" si="1"/>
        <v>0.86710048768338333</v>
      </c>
      <c r="S22">
        <f t="shared" si="11"/>
        <v>1.2844444444444443</v>
      </c>
      <c r="U22">
        <f t="shared" si="12"/>
        <v>0.88235294117647067</v>
      </c>
      <c r="V22">
        <f t="shared" si="13"/>
        <v>2.1546451928071835E-119</v>
      </c>
      <c r="X22">
        <f t="shared" si="14"/>
        <v>1.2844444444444443</v>
      </c>
      <c r="AA22">
        <v>30</v>
      </c>
      <c r="AB22">
        <v>2.1</v>
      </c>
      <c r="AC22" s="3">
        <f t="shared" si="15"/>
        <v>2.29</v>
      </c>
      <c r="AD22">
        <f t="shared" si="16"/>
        <v>1.0904761904761904</v>
      </c>
      <c r="AE22">
        <f t="shared" si="2"/>
        <v>0.82855181756614826</v>
      </c>
      <c r="AF22">
        <f t="shared" si="17"/>
        <v>1.1891383219954645</v>
      </c>
      <c r="AH22">
        <f t="shared" si="18"/>
        <v>1.0904761904761904</v>
      </c>
      <c r="AI22">
        <f t="shared" si="19"/>
        <v>1.8854334476779699E-137</v>
      </c>
      <c r="AK22">
        <f t="shared" si="20"/>
        <v>1.1891383219954645</v>
      </c>
    </row>
    <row r="23" spans="1:38" x14ac:dyDescent="0.25">
      <c r="A23">
        <v>40</v>
      </c>
      <c r="B23">
        <v>2.1</v>
      </c>
      <c r="C23" s="3">
        <f t="shared" si="3"/>
        <v>1.1000000000000001</v>
      </c>
      <c r="D23">
        <f t="shared" si="4"/>
        <v>0.52380952380952384</v>
      </c>
      <c r="E23">
        <f t="shared" si="0"/>
        <v>9.5310179804324935E-2</v>
      </c>
      <c r="F23">
        <f t="shared" si="5"/>
        <v>0.2743764172335601</v>
      </c>
      <c r="H23">
        <f t="shared" si="6"/>
        <v>1.9090909090909089</v>
      </c>
      <c r="I23">
        <f t="shared" si="7"/>
        <v>9.4760576794825231E-220</v>
      </c>
      <c r="K23">
        <f t="shared" si="8"/>
        <v>0.2743764172335601</v>
      </c>
      <c r="N23">
        <v>40</v>
      </c>
      <c r="O23">
        <v>2.1</v>
      </c>
      <c r="P23" s="3">
        <f t="shared" si="9"/>
        <v>1.8</v>
      </c>
      <c r="Q23">
        <f t="shared" si="10"/>
        <v>0.8571428571428571</v>
      </c>
      <c r="R23">
        <f t="shared" si="1"/>
        <v>0.58778666490211906</v>
      </c>
      <c r="S23">
        <f t="shared" si="11"/>
        <v>0.73469387755102034</v>
      </c>
      <c r="U23">
        <f t="shared" si="12"/>
        <v>1.1666666666666667</v>
      </c>
      <c r="V23">
        <f t="shared" si="13"/>
        <v>2.3893701270770709E-159</v>
      </c>
      <c r="X23">
        <f t="shared" si="14"/>
        <v>0.73469387755102034</v>
      </c>
      <c r="AA23">
        <v>40</v>
      </c>
      <c r="AB23">
        <v>2.1</v>
      </c>
      <c r="AC23" s="3">
        <f t="shared" si="15"/>
        <v>2.2000000000000002</v>
      </c>
      <c r="AD23">
        <f t="shared" si="16"/>
        <v>1.0476190476190477</v>
      </c>
      <c r="AE23">
        <f t="shared" si="2"/>
        <v>0.78845736036427028</v>
      </c>
      <c r="AF23">
        <f t="shared" si="17"/>
        <v>1.0975056689342404</v>
      </c>
      <c r="AH23">
        <f t="shared" si="18"/>
        <v>1.0476190476190477</v>
      </c>
      <c r="AI23">
        <f t="shared" si="19"/>
        <v>1.7385857891720511E-183</v>
      </c>
      <c r="AK23">
        <f t="shared" si="20"/>
        <v>1.0975056689342404</v>
      </c>
    </row>
    <row r="24" spans="1:38" x14ac:dyDescent="0.25">
      <c r="A24">
        <v>50</v>
      </c>
      <c r="B24">
        <v>2.1</v>
      </c>
      <c r="C24" s="3">
        <f t="shared" si="3"/>
        <v>1.1499999999999999</v>
      </c>
      <c r="D24">
        <f t="shared" si="4"/>
        <v>0.54761904761904756</v>
      </c>
      <c r="E24">
        <f t="shared" si="0"/>
        <v>0.13976194237515863</v>
      </c>
      <c r="F24">
        <f t="shared" si="5"/>
        <v>0.29988662131519267</v>
      </c>
      <c r="H24">
        <f t="shared" si="6"/>
        <v>1.8260869565217392</v>
      </c>
      <c r="I24">
        <f t="shared" si="7"/>
        <v>2.4374648124128357E-275</v>
      </c>
      <c r="K24">
        <f t="shared" si="8"/>
        <v>0.29988662131519267</v>
      </c>
      <c r="N24">
        <v>50</v>
      </c>
      <c r="O24">
        <v>2.1</v>
      </c>
      <c r="P24" s="3">
        <f t="shared" si="9"/>
        <v>2</v>
      </c>
      <c r="Q24">
        <f t="shared" si="10"/>
        <v>0.95238095238095233</v>
      </c>
      <c r="R24">
        <f t="shared" si="1"/>
        <v>0.69314718055994529</v>
      </c>
      <c r="S24">
        <f t="shared" si="11"/>
        <v>0.90702947845804982</v>
      </c>
      <c r="U24">
        <f t="shared" si="12"/>
        <v>1.05</v>
      </c>
      <c r="V24">
        <f t="shared" si="13"/>
        <v>2.649665765494562E-199</v>
      </c>
      <c r="X24">
        <f t="shared" si="14"/>
        <v>0.90702947845804982</v>
      </c>
      <c r="AA24">
        <v>50</v>
      </c>
      <c r="AB24">
        <v>2.1</v>
      </c>
      <c r="AC24" s="3">
        <f t="shared" si="15"/>
        <v>2.4</v>
      </c>
      <c r="AD24">
        <f t="shared" si="16"/>
        <v>1.1428571428571428</v>
      </c>
      <c r="AE24">
        <f t="shared" si="2"/>
        <v>0.87546873735389985</v>
      </c>
      <c r="AF24">
        <f t="shared" si="17"/>
        <v>1.3061224489795917</v>
      </c>
      <c r="AH24">
        <f t="shared" si="18"/>
        <v>1.1428571428571428</v>
      </c>
      <c r="AI24">
        <f t="shared" si="19"/>
        <v>1.6031754130772705E-229</v>
      </c>
      <c r="AK24">
        <f t="shared" si="20"/>
        <v>1.3061224489795917</v>
      </c>
    </row>
    <row r="25" spans="1:38" x14ac:dyDescent="0.25">
      <c r="A25">
        <v>60</v>
      </c>
      <c r="B25">
        <v>2.1</v>
      </c>
      <c r="C25" s="3">
        <f t="shared" si="3"/>
        <v>1.3</v>
      </c>
      <c r="D25">
        <f t="shared" si="4"/>
        <v>0.61904761904761907</v>
      </c>
      <c r="E25">
        <f t="shared" si="0"/>
        <v>0.26236426446749106</v>
      </c>
      <c r="F25">
        <f t="shared" si="5"/>
        <v>0.3832199546485261</v>
      </c>
      <c r="H25">
        <f t="shared" si="6"/>
        <v>1.6153846153846154</v>
      </c>
      <c r="I25" t="e">
        <f t="shared" si="7"/>
        <v>#NUM!</v>
      </c>
      <c r="K25" t="e">
        <f t="shared" si="8"/>
        <v>#NUM!</v>
      </c>
      <c r="N25">
        <v>60</v>
      </c>
      <c r="O25">
        <v>2.1</v>
      </c>
      <c r="P25" s="3">
        <f t="shared" si="9"/>
        <v>1.71</v>
      </c>
      <c r="Q25">
        <f t="shared" si="10"/>
        <v>0.81428571428571428</v>
      </c>
      <c r="R25">
        <f t="shared" si="1"/>
        <v>0.53649337051456847</v>
      </c>
      <c r="S25">
        <f t="shared" si="11"/>
        <v>0.66306122448979588</v>
      </c>
      <c r="U25">
        <f t="shared" si="12"/>
        <v>1.2280701754385965</v>
      </c>
      <c r="V25">
        <f t="shared" si="13"/>
        <v>2.9383177554924806E-239</v>
      </c>
      <c r="X25">
        <f t="shared" si="14"/>
        <v>0.66306122448979588</v>
      </c>
      <c r="AA25">
        <v>60</v>
      </c>
      <c r="AB25">
        <v>2.1</v>
      </c>
      <c r="AC25" s="3">
        <f t="shared" si="15"/>
        <v>2.56</v>
      </c>
      <c r="AD25">
        <f t="shared" si="16"/>
        <v>1.2190476190476189</v>
      </c>
      <c r="AE25">
        <f t="shared" si="2"/>
        <v>0.94000725849147115</v>
      </c>
      <c r="AF25">
        <f t="shared" si="17"/>
        <v>1.4860770975056687</v>
      </c>
      <c r="AH25">
        <f t="shared" si="18"/>
        <v>1.2190476190476189</v>
      </c>
      <c r="AI25">
        <f t="shared" si="19"/>
        <v>1.4783115225620187E-275</v>
      </c>
      <c r="AK25">
        <f t="shared" si="20"/>
        <v>1.4860770975056687</v>
      </c>
    </row>
    <row r="26" spans="1:38" x14ac:dyDescent="0.25">
      <c r="C26" s="14"/>
      <c r="P26" s="14"/>
      <c r="AC26" s="14"/>
    </row>
    <row r="27" spans="1:38" x14ac:dyDescent="0.25">
      <c r="C27" s="14"/>
      <c r="P27" s="14"/>
      <c r="AC27" s="14"/>
    </row>
    <row r="28" spans="1:38" x14ac:dyDescent="0.25">
      <c r="C28" s="14"/>
      <c r="P28" s="14"/>
      <c r="AC28" s="14"/>
    </row>
    <row r="29" spans="1:38" x14ac:dyDescent="0.25">
      <c r="C29" s="14"/>
      <c r="P29" s="14"/>
      <c r="AC29" s="14"/>
    </row>
    <row r="30" spans="1:38" x14ac:dyDescent="0.25">
      <c r="C30" s="2"/>
      <c r="P30" s="2"/>
      <c r="AC30" s="2"/>
    </row>
    <row r="31" spans="1:38" x14ac:dyDescent="0.25">
      <c r="C31" s="15" t="s">
        <v>63</v>
      </c>
      <c r="D31" s="16">
        <f>SUM(D20:D29)</f>
        <v>3.9809523809523806</v>
      </c>
      <c r="E31" s="15" t="s">
        <v>63</v>
      </c>
      <c r="F31">
        <f>SUM(F20:F29)</f>
        <v>2.9829931972789114</v>
      </c>
      <c r="H31" s="15" t="s">
        <v>63</v>
      </c>
      <c r="I31" s="16">
        <f>SUM(I20:I24)</f>
        <v>5.5679550115332687E-53</v>
      </c>
      <c r="K31" s="15" t="s">
        <v>64</v>
      </c>
      <c r="L31" s="15" t="s">
        <v>65</v>
      </c>
      <c r="P31" s="15" t="s">
        <v>63</v>
      </c>
      <c r="Q31" s="16">
        <f>SUM(Q20:Q29)</f>
        <v>6.3285714285714283</v>
      </c>
      <c r="R31" s="15" t="s">
        <v>63</v>
      </c>
      <c r="S31">
        <f>SUM(S20:S29)</f>
        <v>6.8998866213151917</v>
      </c>
      <c r="U31" s="15" t="s">
        <v>63</v>
      </c>
      <c r="V31" s="16">
        <f>SUM(V20:V25)</f>
        <v>1.7521062344329999E-39</v>
      </c>
      <c r="X31" s="15" t="s">
        <v>64</v>
      </c>
      <c r="Y31" s="15" t="s">
        <v>65</v>
      </c>
      <c r="AC31" s="15" t="s">
        <v>63</v>
      </c>
      <c r="AD31" s="16">
        <f>SUM(AD20:AD29)</f>
        <v>6.5952380952380958</v>
      </c>
      <c r="AE31" s="15" t="s">
        <v>63</v>
      </c>
      <c r="AF31">
        <f>SUM(AF20:AF29)</f>
        <v>7.2738548752834458</v>
      </c>
      <c r="AH31" s="15" t="s">
        <v>63</v>
      </c>
      <c r="AI31" s="16">
        <f>SUM(AI20:AI25)</f>
        <v>2.2173863549960113E-45</v>
      </c>
      <c r="AK31" s="15" t="s">
        <v>64</v>
      </c>
      <c r="AL31" s="15" t="s">
        <v>65</v>
      </c>
    </row>
    <row r="32" spans="1:38" x14ac:dyDescent="0.25">
      <c r="D32" t="s">
        <v>66</v>
      </c>
      <c r="F32" t="s">
        <v>67</v>
      </c>
      <c r="I32" t="s">
        <v>68</v>
      </c>
      <c r="K32">
        <f>SUM(K20:K24)</f>
        <v>2.5997732426303855</v>
      </c>
      <c r="L32">
        <f>(I31-F31)^2</f>
        <v>8.8982484150122634</v>
      </c>
      <c r="Q32" t="s">
        <v>66</v>
      </c>
      <c r="S32" t="s">
        <v>67</v>
      </c>
      <c r="V32" t="s">
        <v>68</v>
      </c>
      <c r="X32">
        <f>SUM(X20:X25)</f>
        <v>6.8998866213151917</v>
      </c>
      <c r="Y32">
        <f>(V31-S31)^2</f>
        <v>47.60843538700437</v>
      </c>
      <c r="AD32" t="s">
        <v>66</v>
      </c>
      <c r="AF32" t="s">
        <v>67</v>
      </c>
      <c r="AI32" t="s">
        <v>68</v>
      </c>
      <c r="AK32">
        <f>SUM(AK20:AK25)</f>
        <v>7.2738548752834458</v>
      </c>
      <c r="AL32">
        <f>(AI31-AF31)^2</f>
        <v>52.908964746684752</v>
      </c>
    </row>
    <row r="36" spans="2:35" x14ac:dyDescent="0.25">
      <c r="B36" t="s">
        <v>21</v>
      </c>
      <c r="C36">
        <v>6690</v>
      </c>
      <c r="F36" t="s">
        <v>8</v>
      </c>
      <c r="G36">
        <v>-12.799999</v>
      </c>
      <c r="O36" t="s">
        <v>21</v>
      </c>
      <c r="P36">
        <v>6690</v>
      </c>
      <c r="S36" t="s">
        <v>8</v>
      </c>
      <c r="T36">
        <v>-9.1999999999999993</v>
      </c>
      <c r="AB36" t="s">
        <v>21</v>
      </c>
      <c r="AC36">
        <v>6690</v>
      </c>
      <c r="AF36" t="s">
        <v>8</v>
      </c>
      <c r="AG36">
        <v>-10.6</v>
      </c>
    </row>
    <row r="37" spans="2:35" x14ac:dyDescent="0.25">
      <c r="B37" t="s">
        <v>69</v>
      </c>
      <c r="C37">
        <v>0.17399999999999999</v>
      </c>
      <c r="F37" s="4" t="s">
        <v>73</v>
      </c>
      <c r="G37">
        <v>0.60000066519457163</v>
      </c>
      <c r="O37" t="s">
        <v>69</v>
      </c>
      <c r="P37">
        <v>0.17399999999999999</v>
      </c>
      <c r="S37" s="4" t="s">
        <v>73</v>
      </c>
      <c r="T37">
        <v>0.3</v>
      </c>
      <c r="AB37" t="s">
        <v>69</v>
      </c>
      <c r="AC37">
        <v>0.17399999999999999</v>
      </c>
      <c r="AF37" s="4" t="s">
        <v>73</v>
      </c>
      <c r="AG37">
        <v>0.3</v>
      </c>
    </row>
    <row r="38" spans="2:35" x14ac:dyDescent="0.25">
      <c r="F38" t="s">
        <v>70</v>
      </c>
      <c r="G38" s="17">
        <f>1-(K32/L32)</f>
        <v>0.70783314632525884</v>
      </c>
      <c r="S38" t="s">
        <v>70</v>
      </c>
      <c r="T38" s="17">
        <f>1-(X32/Y32)</f>
        <v>0.85507008232413684</v>
      </c>
      <c r="AF38" t="s">
        <v>70</v>
      </c>
      <c r="AG38" s="17">
        <f>1-(AK32/AL32)</f>
        <v>0.86252131543096922</v>
      </c>
    </row>
    <row r="40" spans="2:35" x14ac:dyDescent="0.25">
      <c r="B40" s="10" t="s">
        <v>6</v>
      </c>
      <c r="C40" s="10" t="s">
        <v>7</v>
      </c>
      <c r="D40" s="10"/>
      <c r="E40" s="10"/>
      <c r="F40" s="10"/>
      <c r="G40" s="10"/>
      <c r="H40" s="18"/>
      <c r="I40" s="10"/>
      <c r="O40" s="10" t="s">
        <v>6</v>
      </c>
      <c r="P40" s="10" t="s">
        <v>7</v>
      </c>
      <c r="Q40" s="10"/>
      <c r="R40" s="10"/>
      <c r="S40" s="10"/>
      <c r="T40" s="10"/>
      <c r="U40" s="18"/>
      <c r="V40" s="10"/>
      <c r="AB40" s="10" t="s">
        <v>6</v>
      </c>
      <c r="AC40" s="10" t="s">
        <v>7</v>
      </c>
      <c r="AD40" s="10"/>
      <c r="AE40" s="10"/>
      <c r="AF40" s="10"/>
      <c r="AG40" s="10"/>
      <c r="AH40" s="18"/>
      <c r="AI40" s="10"/>
    </row>
    <row r="41" spans="2:35" x14ac:dyDescent="0.25">
      <c r="B41">
        <f>SLOPE(D20:D25,E20:E25)</f>
        <v>0.81773293322251961</v>
      </c>
      <c r="C41">
        <f>INTERCEPT(D20:D25,E20:E25)</f>
        <v>0.43227846550830085</v>
      </c>
      <c r="H41" s="17"/>
      <c r="O41">
        <f>SLOPE(Q20:Q25,R20:R25)</f>
        <v>1.0465821090427696</v>
      </c>
      <c r="P41">
        <f>INTERCEPT(Q20:Q25,R20:R25)</f>
        <v>0.24023171969917057</v>
      </c>
      <c r="U41" s="17"/>
      <c r="AB41">
        <f>SLOPE(AD20:AD25,AE20:AE25)</f>
        <v>1.1252630221805675</v>
      </c>
      <c r="AC41">
        <f>INTERCEPT(AD20:AD25,AE20:AE25)</f>
        <v>0.1597242717728562</v>
      </c>
      <c r="AH41" s="17"/>
    </row>
    <row r="43" spans="2:35" x14ac:dyDescent="0.25">
      <c r="B43" s="28" t="s">
        <v>79</v>
      </c>
      <c r="C43" s="28"/>
      <c r="D43" s="28"/>
      <c r="E43" s="28"/>
      <c r="G43" s="28" t="s">
        <v>80</v>
      </c>
      <c r="H43" s="28"/>
      <c r="I43" s="28"/>
      <c r="J43" s="28"/>
    </row>
    <row r="44" spans="2:35" x14ac:dyDescent="0.25">
      <c r="C44" s="11" t="s">
        <v>25</v>
      </c>
      <c r="D44" s="1" t="s">
        <v>27</v>
      </c>
      <c r="E44" s="1" t="s">
        <v>29</v>
      </c>
      <c r="H44" s="11" t="s">
        <v>25</v>
      </c>
      <c r="I44" s="1" t="s">
        <v>27</v>
      </c>
      <c r="J44" s="1" t="s">
        <v>29</v>
      </c>
    </row>
    <row r="45" spans="2:35" x14ac:dyDescent="0.25">
      <c r="B45" t="s">
        <v>78</v>
      </c>
      <c r="C45" s="11" t="s">
        <v>26</v>
      </c>
      <c r="D45" s="6" t="s">
        <v>28</v>
      </c>
      <c r="E45" s="6" t="s">
        <v>30</v>
      </c>
      <c r="G45" t="s">
        <v>78</v>
      </c>
      <c r="H45" s="11" t="s">
        <v>26</v>
      </c>
      <c r="I45" s="6" t="s">
        <v>28</v>
      </c>
      <c r="J45" s="6" t="s">
        <v>30</v>
      </c>
    </row>
    <row r="46" spans="2:35" x14ac:dyDescent="0.25">
      <c r="B46">
        <f>A20</f>
        <v>10</v>
      </c>
      <c r="C46" s="2">
        <f>H20</f>
        <v>0.84000000000000008</v>
      </c>
      <c r="D46" s="2">
        <f>U20</f>
        <v>0.75000000000000011</v>
      </c>
      <c r="E46" s="2">
        <f>AH20</f>
        <v>1.0476190476190477</v>
      </c>
      <c r="G46">
        <f>A20</f>
        <v>10</v>
      </c>
      <c r="H46" s="2">
        <f>D20</f>
        <v>1.1904761904761905</v>
      </c>
      <c r="I46" s="2">
        <f>Q20</f>
        <v>1.3333333333333333</v>
      </c>
      <c r="J46" s="2">
        <f>AD20</f>
        <v>1.0476190476190477</v>
      </c>
    </row>
    <row r="47" spans="2:35" x14ac:dyDescent="0.25">
      <c r="B47">
        <f t="shared" ref="B47:B51" si="21">A21</f>
        <v>20</v>
      </c>
      <c r="C47" s="2">
        <f t="shared" ref="C47:C51" si="22">H21</f>
        <v>1.6935483870967742</v>
      </c>
      <c r="D47" s="2">
        <f t="shared" ref="D47:D51" si="23">U21</f>
        <v>0.80769230769230771</v>
      </c>
      <c r="E47" s="2">
        <f t="shared" ref="E47:E51" si="24">AH21</f>
        <v>1.0476190476190477</v>
      </c>
      <c r="G47">
        <f t="shared" ref="G47:G51" si="25">A21</f>
        <v>20</v>
      </c>
      <c r="H47" s="2">
        <f t="shared" ref="H47:H51" si="26">D21</f>
        <v>0.59047619047619049</v>
      </c>
      <c r="I47" s="2">
        <f t="shared" ref="I47:I51" si="27">Q21</f>
        <v>1.2380952380952381</v>
      </c>
      <c r="J47" s="2">
        <f t="shared" ref="J47:J51" si="28">AD21</f>
        <v>1.0476190476190477</v>
      </c>
    </row>
    <row r="48" spans="2:35" x14ac:dyDescent="0.25">
      <c r="B48">
        <f t="shared" si="21"/>
        <v>30</v>
      </c>
      <c r="C48" s="2">
        <f t="shared" si="22"/>
        <v>1.9626168224299065</v>
      </c>
      <c r="D48" s="2">
        <f t="shared" si="23"/>
        <v>0.88235294117647067</v>
      </c>
      <c r="E48" s="2">
        <f t="shared" si="24"/>
        <v>1.0904761904761904</v>
      </c>
      <c r="G48">
        <f t="shared" si="25"/>
        <v>30</v>
      </c>
      <c r="H48" s="2">
        <f t="shared" si="26"/>
        <v>0.50952380952380949</v>
      </c>
      <c r="I48" s="2">
        <f t="shared" si="27"/>
        <v>1.1333333333333333</v>
      </c>
      <c r="J48" s="2">
        <f t="shared" si="28"/>
        <v>1.0904761904761904</v>
      </c>
    </row>
    <row r="49" spans="1:39" x14ac:dyDescent="0.25">
      <c r="B49">
        <f t="shared" si="21"/>
        <v>40</v>
      </c>
      <c r="C49" s="2">
        <f t="shared" si="22"/>
        <v>1.9090909090909089</v>
      </c>
      <c r="D49" s="2">
        <f t="shared" si="23"/>
        <v>1.1666666666666667</v>
      </c>
      <c r="E49" s="2">
        <f t="shared" si="24"/>
        <v>1.0476190476190477</v>
      </c>
      <c r="G49">
        <f t="shared" si="25"/>
        <v>40</v>
      </c>
      <c r="H49" s="2">
        <f t="shared" si="26"/>
        <v>0.52380952380952384</v>
      </c>
      <c r="I49" s="2">
        <f t="shared" si="27"/>
        <v>0.8571428571428571</v>
      </c>
      <c r="J49" s="2">
        <f t="shared" si="28"/>
        <v>1.0476190476190477</v>
      </c>
    </row>
    <row r="50" spans="1:39" x14ac:dyDescent="0.25">
      <c r="B50">
        <f t="shared" si="21"/>
        <v>50</v>
      </c>
      <c r="C50" s="2">
        <f t="shared" si="22"/>
        <v>1.8260869565217392</v>
      </c>
      <c r="D50" s="2">
        <f t="shared" si="23"/>
        <v>1.05</v>
      </c>
      <c r="E50" s="2">
        <f t="shared" si="24"/>
        <v>1.1428571428571428</v>
      </c>
      <c r="G50">
        <f t="shared" si="25"/>
        <v>50</v>
      </c>
      <c r="H50" s="2">
        <f t="shared" si="26"/>
        <v>0.54761904761904756</v>
      </c>
      <c r="I50" s="2">
        <f t="shared" si="27"/>
        <v>0.95238095238095233</v>
      </c>
      <c r="J50" s="2">
        <f t="shared" si="28"/>
        <v>1.1428571428571428</v>
      </c>
    </row>
    <row r="51" spans="1:39" x14ac:dyDescent="0.25">
      <c r="B51">
        <f t="shared" si="21"/>
        <v>60</v>
      </c>
      <c r="C51" s="2">
        <f t="shared" si="22"/>
        <v>1.6153846153846154</v>
      </c>
      <c r="D51" s="2">
        <f t="shared" si="23"/>
        <v>1.2280701754385965</v>
      </c>
      <c r="E51" s="2">
        <f t="shared" si="24"/>
        <v>1.2190476190476189</v>
      </c>
      <c r="G51">
        <f t="shared" si="25"/>
        <v>60</v>
      </c>
      <c r="H51" s="2">
        <f t="shared" si="26"/>
        <v>0.61904761904761907</v>
      </c>
      <c r="I51" s="2">
        <f t="shared" si="27"/>
        <v>0.81428571428571428</v>
      </c>
      <c r="J51" s="2">
        <f t="shared" si="28"/>
        <v>1.2190476190476189</v>
      </c>
    </row>
    <row r="55" spans="1:39" x14ac:dyDescent="0.25">
      <c r="A55" s="28" t="s">
        <v>74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N55" s="28" t="s">
        <v>74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AB55" s="28" t="s">
        <v>74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1:39" x14ac:dyDescent="0.25">
      <c r="B56" s="28" t="s">
        <v>57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O56" s="28" t="s">
        <v>57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AC56" s="28" t="s">
        <v>57</v>
      </c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1:39" x14ac:dyDescent="0.25">
      <c r="B57" s="28" t="s">
        <v>58</v>
      </c>
      <c r="C57" s="28"/>
      <c r="D57" s="28"/>
      <c r="E57" s="13" t="s">
        <v>59</v>
      </c>
      <c r="I57" s="1" t="s">
        <v>5</v>
      </c>
      <c r="K57" s="1" t="s">
        <v>59</v>
      </c>
      <c r="O57" s="28" t="s">
        <v>58</v>
      </c>
      <c r="P57" s="28"/>
      <c r="Q57" s="28"/>
      <c r="R57" s="13" t="s">
        <v>59</v>
      </c>
      <c r="V57" s="1" t="s">
        <v>5</v>
      </c>
      <c r="X57" s="1" t="s">
        <v>59</v>
      </c>
      <c r="AC57" s="28" t="s">
        <v>58</v>
      </c>
      <c r="AD57" s="28"/>
      <c r="AE57" s="28"/>
      <c r="AF57" s="13" t="s">
        <v>59</v>
      </c>
      <c r="AJ57" s="1" t="s">
        <v>5</v>
      </c>
      <c r="AL57" s="1" t="s">
        <v>59</v>
      </c>
    </row>
    <row r="58" spans="1:39" x14ac:dyDescent="0.25">
      <c r="B58" s="9"/>
      <c r="C58" s="9" t="s">
        <v>25</v>
      </c>
      <c r="D58" s="9"/>
      <c r="E58" s="13"/>
      <c r="I58" s="1"/>
      <c r="K58" s="1"/>
      <c r="O58" s="9"/>
      <c r="P58" s="1" t="s">
        <v>27</v>
      </c>
      <c r="Q58" s="9"/>
      <c r="R58" s="13"/>
      <c r="V58" s="1"/>
      <c r="X58" s="1"/>
      <c r="AC58" s="9"/>
      <c r="AD58" s="1" t="s">
        <v>29</v>
      </c>
      <c r="AE58" s="9"/>
      <c r="AF58" s="13"/>
      <c r="AJ58" s="1"/>
      <c r="AL58" s="1"/>
    </row>
    <row r="59" spans="1:39" x14ac:dyDescent="0.25">
      <c r="B59" s="9"/>
      <c r="C59" s="9" t="s">
        <v>26</v>
      </c>
      <c r="D59" s="9"/>
      <c r="E59" s="13"/>
      <c r="H59" t="s">
        <v>77</v>
      </c>
      <c r="I59" s="1"/>
      <c r="K59" s="1"/>
      <c r="O59" s="9"/>
      <c r="P59" s="6" t="s">
        <v>28</v>
      </c>
      <c r="Q59" s="9"/>
      <c r="R59" s="13"/>
      <c r="U59" t="s">
        <v>77</v>
      </c>
      <c r="V59" s="1"/>
      <c r="X59" s="1"/>
      <c r="AC59" s="9"/>
      <c r="AD59" s="6" t="s">
        <v>30</v>
      </c>
      <c r="AE59" s="9"/>
      <c r="AF59" s="13"/>
      <c r="AI59" t="s">
        <v>77</v>
      </c>
      <c r="AJ59" s="1"/>
      <c r="AL59" s="1"/>
    </row>
    <row r="60" spans="1:39" ht="18" x14ac:dyDescent="0.35">
      <c r="A60" s="7" t="s">
        <v>0</v>
      </c>
      <c r="B60" t="s">
        <v>1</v>
      </c>
      <c r="C60" t="s">
        <v>2</v>
      </c>
      <c r="D60" s="10" t="s">
        <v>71</v>
      </c>
      <c r="E60" t="s">
        <v>60</v>
      </c>
      <c r="H60" t="s">
        <v>76</v>
      </c>
      <c r="I60" s="10" t="s">
        <v>72</v>
      </c>
      <c r="K60" t="s">
        <v>61</v>
      </c>
      <c r="N60" s="7" t="s">
        <v>0</v>
      </c>
      <c r="O60" t="s">
        <v>1</v>
      </c>
      <c r="P60" t="s">
        <v>2</v>
      </c>
      <c r="Q60" s="10" t="s">
        <v>71</v>
      </c>
      <c r="R60" t="s">
        <v>60</v>
      </c>
      <c r="U60" t="s">
        <v>76</v>
      </c>
      <c r="V60" s="10" t="s">
        <v>72</v>
      </c>
      <c r="X60" t="s">
        <v>61</v>
      </c>
      <c r="AB60" s="7" t="s">
        <v>0</v>
      </c>
      <c r="AC60" t="s">
        <v>1</v>
      </c>
      <c r="AD60" t="s">
        <v>2</v>
      </c>
      <c r="AE60" s="10" t="s">
        <v>71</v>
      </c>
      <c r="AF60" t="s">
        <v>60</v>
      </c>
      <c r="AI60" t="s">
        <v>76</v>
      </c>
      <c r="AJ60" s="10" t="s">
        <v>72</v>
      </c>
      <c r="AL60" t="s">
        <v>61</v>
      </c>
    </row>
    <row r="61" spans="1:39" x14ac:dyDescent="0.25">
      <c r="A61">
        <v>10</v>
      </c>
      <c r="B61">
        <v>2.1</v>
      </c>
      <c r="C61" s="3">
        <f>E5</f>
        <v>1.6</v>
      </c>
      <c r="D61">
        <f>C61/B61</f>
        <v>0.76190476190476186</v>
      </c>
      <c r="E61">
        <f t="shared" ref="E61:E66" si="29">LN(C61)</f>
        <v>0.47000362924573563</v>
      </c>
      <c r="F61">
        <f>(D61-$D$28)^2</f>
        <v>0.58049886621315183</v>
      </c>
      <c r="G61" t="s">
        <v>62</v>
      </c>
      <c r="H61">
        <f>B61/C61</f>
        <v>1.3125</v>
      </c>
      <c r="I61">
        <f t="shared" ref="I61:I66" si="30">(1/(1+EXP($G$36*($G$37-A61))))</f>
        <v>5.5679550115332687E-53</v>
      </c>
      <c r="K61">
        <f>(D61-I61)^2</f>
        <v>0.58049886621315183</v>
      </c>
      <c r="N61">
        <v>10</v>
      </c>
      <c r="O61">
        <v>2.1</v>
      </c>
      <c r="P61" s="3">
        <f t="shared" ref="P61:P66" si="31">F5</f>
        <v>1.63</v>
      </c>
      <c r="Q61">
        <f>P61/O61</f>
        <v>0.7761904761904761</v>
      </c>
      <c r="R61">
        <f t="shared" ref="R61:R66" si="32">LN(P61)</f>
        <v>0.48858001481867092</v>
      </c>
      <c r="S61">
        <f>(Q61-$D$28)^2</f>
        <v>0.60247165532879809</v>
      </c>
      <c r="T61" t="s">
        <v>62</v>
      </c>
      <c r="U61">
        <f>O61/P61</f>
        <v>1.2883435582822087</v>
      </c>
      <c r="V61">
        <f>(1/(1+EXP($G$36*($G$37-N61))))</f>
        <v>5.5679550115332687E-53</v>
      </c>
      <c r="X61">
        <f>(Q61-V61)^2</f>
        <v>0.60247165532879809</v>
      </c>
      <c r="AB61">
        <v>10</v>
      </c>
      <c r="AC61">
        <v>2.1</v>
      </c>
      <c r="AD61" s="3">
        <f t="shared" ref="AD61:AD66" si="33">G5</f>
        <v>1.6</v>
      </c>
      <c r="AE61">
        <f>AD61/AC61</f>
        <v>0.76190476190476186</v>
      </c>
      <c r="AF61">
        <f t="shared" ref="AF61:AF66" si="34">LN(AD61)</f>
        <v>0.47000362924573563</v>
      </c>
      <c r="AG61">
        <f>(AE61-$D$28)^2</f>
        <v>0.58049886621315183</v>
      </c>
      <c r="AH61" t="s">
        <v>62</v>
      </c>
      <c r="AI61">
        <f>AC61/AD61</f>
        <v>1.3125</v>
      </c>
      <c r="AJ61">
        <f>(1/(1+EXP($G$36*($G$37-AB61))))</f>
        <v>5.5679550115332687E-53</v>
      </c>
      <c r="AL61">
        <f>(AE61-AJ61)^2</f>
        <v>0.58049886621315183</v>
      </c>
    </row>
    <row r="62" spans="1:39" x14ac:dyDescent="0.25">
      <c r="A62">
        <v>20</v>
      </c>
      <c r="B62">
        <v>2.1</v>
      </c>
      <c r="C62" s="3">
        <f t="shared" ref="C62:C66" si="35">E6</f>
        <v>1.1100000000000001</v>
      </c>
      <c r="D62">
        <f t="shared" ref="D61:D66" si="36">C62/B62</f>
        <v>0.52857142857142858</v>
      </c>
      <c r="E62">
        <f t="shared" si="29"/>
        <v>0.10436001532424286</v>
      </c>
      <c r="F62">
        <f t="shared" ref="F62:F66" si="37">(D62-$D$28)^2</f>
        <v>0.27938775510204084</v>
      </c>
      <c r="H62">
        <f t="shared" ref="H62:H66" si="38">B62/C62</f>
        <v>1.8918918918918919</v>
      </c>
      <c r="I62">
        <f t="shared" si="30"/>
        <v>1.4322089287293792E-108</v>
      </c>
      <c r="K62">
        <f t="shared" ref="K62:K66" si="39">(D62-I62)^2</f>
        <v>0.27938775510204084</v>
      </c>
      <c r="N62">
        <v>20</v>
      </c>
      <c r="O62">
        <v>2.1</v>
      </c>
      <c r="P62" s="3">
        <f t="shared" si="31"/>
        <v>1.2</v>
      </c>
      <c r="Q62">
        <f t="shared" ref="Q62:Q66" si="40">P62/O62</f>
        <v>0.5714285714285714</v>
      </c>
      <c r="R62">
        <f t="shared" si="32"/>
        <v>0.18232155679395459</v>
      </c>
      <c r="S62">
        <f t="shared" ref="S62:S66" si="41">(Q62-$D$28)^2</f>
        <v>0.32653061224489793</v>
      </c>
      <c r="U62">
        <f t="shared" ref="U62:U66" si="42">O62/P62</f>
        <v>1.7500000000000002</v>
      </c>
      <c r="V62">
        <f t="shared" ref="V62:V66" si="43">(1/(1+EXP($G$36*($G$37-N62))))</f>
        <v>1.4322089287293792E-108</v>
      </c>
      <c r="X62">
        <f t="shared" ref="X62:X66" si="44">(Q62-V62)^2</f>
        <v>0.32653061224489793</v>
      </c>
      <c r="AB62">
        <v>20</v>
      </c>
      <c r="AC62">
        <v>2.1</v>
      </c>
      <c r="AD62" s="3">
        <f t="shared" si="33"/>
        <v>1.5</v>
      </c>
      <c r="AE62">
        <f t="shared" ref="AE62:AE66" si="45">AD62/AC62</f>
        <v>0.7142857142857143</v>
      </c>
      <c r="AF62">
        <f t="shared" si="34"/>
        <v>0.40546510810816438</v>
      </c>
      <c r="AG62">
        <f t="shared" ref="AG62:AG66" si="46">(AE62-$D$28)^2</f>
        <v>0.51020408163265307</v>
      </c>
      <c r="AI62">
        <f t="shared" ref="AI62:AI66" si="47">AC62/AD62</f>
        <v>1.4000000000000001</v>
      </c>
      <c r="AJ62">
        <f t="shared" ref="AJ62:AJ66" si="48">(1/(1+EXP($G$36*($G$37-AB62))))</f>
        <v>1.4322089287293792E-108</v>
      </c>
      <c r="AL62">
        <f t="shared" ref="AL62:AL66" si="49">(AE62-AJ62)^2</f>
        <v>0.51020408163265307</v>
      </c>
    </row>
    <row r="63" spans="1:39" x14ac:dyDescent="0.25">
      <c r="A63">
        <v>30</v>
      </c>
      <c r="B63">
        <v>2.1</v>
      </c>
      <c r="C63" s="3">
        <f t="shared" si="35"/>
        <v>0.54</v>
      </c>
      <c r="D63">
        <f t="shared" si="36"/>
        <v>0.25714285714285717</v>
      </c>
      <c r="E63">
        <f t="shared" si="29"/>
        <v>-0.61618613942381695</v>
      </c>
      <c r="F63">
        <f t="shared" si="37"/>
        <v>6.6122448979591852E-2</v>
      </c>
      <c r="H63">
        <f t="shared" si="38"/>
        <v>3.8888888888888888</v>
      </c>
      <c r="I63">
        <f t="shared" si="30"/>
        <v>3.6839780696563715E-164</v>
      </c>
      <c r="K63">
        <f t="shared" si="39"/>
        <v>6.6122448979591852E-2</v>
      </c>
      <c r="N63">
        <v>30</v>
      </c>
      <c r="O63">
        <v>2.1</v>
      </c>
      <c r="P63" s="3">
        <f t="shared" si="31"/>
        <v>0.89</v>
      </c>
      <c r="Q63">
        <f t="shared" si="40"/>
        <v>0.4238095238095238</v>
      </c>
      <c r="R63">
        <f t="shared" si="32"/>
        <v>-0.11653381625595151</v>
      </c>
      <c r="S63">
        <f t="shared" si="41"/>
        <v>0.17961451247165533</v>
      </c>
      <c r="U63">
        <f t="shared" si="42"/>
        <v>2.3595505617977528</v>
      </c>
      <c r="V63">
        <f t="shared" si="43"/>
        <v>3.6839780696563715E-164</v>
      </c>
      <c r="X63">
        <f t="shared" si="44"/>
        <v>0.17961451247165533</v>
      </c>
      <c r="AB63">
        <v>30</v>
      </c>
      <c r="AC63">
        <v>2.1</v>
      </c>
      <c r="AD63" s="3">
        <f t="shared" si="33"/>
        <v>1.24</v>
      </c>
      <c r="AE63">
        <f t="shared" si="45"/>
        <v>0.59047619047619049</v>
      </c>
      <c r="AF63">
        <f t="shared" si="34"/>
        <v>0.21511137961694549</v>
      </c>
      <c r="AG63">
        <f t="shared" si="46"/>
        <v>0.34866213151927439</v>
      </c>
      <c r="AI63">
        <f t="shared" si="47"/>
        <v>1.6935483870967742</v>
      </c>
      <c r="AJ63">
        <f t="shared" si="48"/>
        <v>3.6839780696563715E-164</v>
      </c>
      <c r="AL63">
        <f t="shared" si="49"/>
        <v>0.34866213151927439</v>
      </c>
    </row>
    <row r="64" spans="1:39" x14ac:dyDescent="0.25">
      <c r="A64">
        <v>40</v>
      </c>
      <c r="B64">
        <v>2.1</v>
      </c>
      <c r="C64" s="3">
        <f t="shared" si="35"/>
        <v>0.44</v>
      </c>
      <c r="D64">
        <f t="shared" si="36"/>
        <v>0.20952380952380953</v>
      </c>
      <c r="E64">
        <f t="shared" si="29"/>
        <v>-0.82098055206983023</v>
      </c>
      <c r="F64">
        <f t="shared" si="37"/>
        <v>4.3900226757369619E-2</v>
      </c>
      <c r="H64">
        <f t="shared" si="38"/>
        <v>4.7727272727272725</v>
      </c>
      <c r="I64">
        <f t="shared" si="30"/>
        <v>9.4760576794825231E-220</v>
      </c>
      <c r="K64">
        <f t="shared" si="39"/>
        <v>4.3900226757369619E-2</v>
      </c>
      <c r="N64">
        <v>40</v>
      </c>
      <c r="O64">
        <v>2.1</v>
      </c>
      <c r="P64" s="3">
        <f t="shared" si="31"/>
        <v>0.9</v>
      </c>
      <c r="Q64">
        <f t="shared" si="40"/>
        <v>0.42857142857142855</v>
      </c>
      <c r="R64">
        <f t="shared" si="32"/>
        <v>-0.10536051565782628</v>
      </c>
      <c r="S64">
        <f t="shared" si="41"/>
        <v>0.18367346938775508</v>
      </c>
      <c r="U64">
        <f t="shared" si="42"/>
        <v>2.3333333333333335</v>
      </c>
      <c r="V64">
        <f t="shared" si="43"/>
        <v>9.4760576794825231E-220</v>
      </c>
      <c r="X64">
        <f t="shared" si="44"/>
        <v>0.18367346938775508</v>
      </c>
      <c r="AB64">
        <v>40</v>
      </c>
      <c r="AC64">
        <v>2.1</v>
      </c>
      <c r="AD64" s="3">
        <f t="shared" si="33"/>
        <v>1.2</v>
      </c>
      <c r="AE64">
        <f t="shared" si="45"/>
        <v>0.5714285714285714</v>
      </c>
      <c r="AF64">
        <f t="shared" si="34"/>
        <v>0.18232155679395459</v>
      </c>
      <c r="AG64">
        <f t="shared" si="46"/>
        <v>0.32653061224489793</v>
      </c>
      <c r="AI64">
        <f t="shared" si="47"/>
        <v>1.7500000000000002</v>
      </c>
      <c r="AJ64">
        <f t="shared" si="48"/>
        <v>9.4760576794825231E-220</v>
      </c>
      <c r="AL64">
        <f t="shared" si="49"/>
        <v>0.32653061224489793</v>
      </c>
    </row>
    <row r="65" spans="1:39" x14ac:dyDescent="0.25">
      <c r="A65">
        <v>50</v>
      </c>
      <c r="B65">
        <v>2.1</v>
      </c>
      <c r="C65" s="3">
        <f t="shared" si="35"/>
        <v>0.45</v>
      </c>
      <c r="D65">
        <f t="shared" si="36"/>
        <v>0.21428571428571427</v>
      </c>
      <c r="E65">
        <f t="shared" si="29"/>
        <v>-0.79850769621777162</v>
      </c>
      <c r="F65">
        <f t="shared" si="37"/>
        <v>4.5918367346938771E-2</v>
      </c>
      <c r="H65">
        <f t="shared" si="38"/>
        <v>4.666666666666667</v>
      </c>
      <c r="I65">
        <f t="shared" si="30"/>
        <v>2.4374648124128357E-275</v>
      </c>
      <c r="K65">
        <f t="shared" si="39"/>
        <v>4.5918367346938771E-2</v>
      </c>
      <c r="N65">
        <v>50</v>
      </c>
      <c r="O65">
        <v>2.1</v>
      </c>
      <c r="P65" s="3">
        <f t="shared" si="31"/>
        <v>0.9</v>
      </c>
      <c r="Q65">
        <f t="shared" si="40"/>
        <v>0.42857142857142855</v>
      </c>
      <c r="R65">
        <f t="shared" si="32"/>
        <v>-0.10536051565782628</v>
      </c>
      <c r="S65">
        <f t="shared" si="41"/>
        <v>0.18367346938775508</v>
      </c>
      <c r="U65">
        <f t="shared" si="42"/>
        <v>2.3333333333333335</v>
      </c>
      <c r="V65">
        <f t="shared" si="43"/>
        <v>2.4374648124128357E-275</v>
      </c>
      <c r="X65">
        <f t="shared" si="44"/>
        <v>0.18367346938775508</v>
      </c>
      <c r="AB65">
        <v>50</v>
      </c>
      <c r="AC65">
        <v>2.1</v>
      </c>
      <c r="AD65" s="3">
        <f t="shared" si="33"/>
        <v>1.1000000000000001</v>
      </c>
      <c r="AE65">
        <f t="shared" si="45"/>
        <v>0.52380952380952384</v>
      </c>
      <c r="AF65">
        <f t="shared" si="34"/>
        <v>9.5310179804324935E-2</v>
      </c>
      <c r="AG65">
        <f t="shared" si="46"/>
        <v>0.2743764172335601</v>
      </c>
      <c r="AI65">
        <f t="shared" si="47"/>
        <v>1.9090909090909089</v>
      </c>
      <c r="AJ65">
        <f t="shared" si="48"/>
        <v>2.4374648124128357E-275</v>
      </c>
      <c r="AL65">
        <f t="shared" si="49"/>
        <v>0.2743764172335601</v>
      </c>
    </row>
    <row r="66" spans="1:39" x14ac:dyDescent="0.25">
      <c r="A66">
        <v>60</v>
      </c>
      <c r="B66">
        <v>2.1</v>
      </c>
      <c r="C66" s="3">
        <f t="shared" si="35"/>
        <v>0.42</v>
      </c>
      <c r="D66">
        <f t="shared" si="36"/>
        <v>0.19999999999999998</v>
      </c>
      <c r="E66">
        <f t="shared" si="29"/>
        <v>-0.86750056770472306</v>
      </c>
      <c r="F66">
        <f t="shared" si="37"/>
        <v>3.9999999999999994E-2</v>
      </c>
      <c r="H66">
        <f t="shared" si="38"/>
        <v>5</v>
      </c>
      <c r="I66" t="e">
        <f t="shared" si="30"/>
        <v>#NUM!</v>
      </c>
      <c r="K66" t="e">
        <f t="shared" si="39"/>
        <v>#NUM!</v>
      </c>
      <c r="N66">
        <v>60</v>
      </c>
      <c r="O66">
        <v>2.1</v>
      </c>
      <c r="P66" s="3">
        <f t="shared" si="31"/>
        <v>0.89</v>
      </c>
      <c r="Q66">
        <f t="shared" si="40"/>
        <v>0.4238095238095238</v>
      </c>
      <c r="R66">
        <f t="shared" si="32"/>
        <v>-0.11653381625595151</v>
      </c>
      <c r="S66">
        <f t="shared" si="41"/>
        <v>0.17961451247165533</v>
      </c>
      <c r="U66">
        <f t="shared" si="42"/>
        <v>2.3595505617977528</v>
      </c>
      <c r="V66" t="e">
        <f t="shared" si="43"/>
        <v>#NUM!</v>
      </c>
      <c r="X66" t="e">
        <f t="shared" si="44"/>
        <v>#NUM!</v>
      </c>
      <c r="AB66">
        <v>60</v>
      </c>
      <c r="AC66">
        <v>2.1</v>
      </c>
      <c r="AD66" s="3">
        <f t="shared" si="33"/>
        <v>1.1100000000000001</v>
      </c>
      <c r="AE66">
        <f t="shared" si="45"/>
        <v>0.52857142857142858</v>
      </c>
      <c r="AF66">
        <f t="shared" si="34"/>
        <v>0.10436001532424286</v>
      </c>
      <c r="AG66">
        <f t="shared" si="46"/>
        <v>0.27938775510204084</v>
      </c>
      <c r="AI66">
        <f t="shared" si="47"/>
        <v>1.8918918918918919</v>
      </c>
      <c r="AJ66" t="e">
        <f t="shared" si="48"/>
        <v>#NUM!</v>
      </c>
      <c r="AL66" t="e">
        <f t="shared" si="49"/>
        <v>#NUM!</v>
      </c>
    </row>
    <row r="67" spans="1:39" x14ac:dyDescent="0.25">
      <c r="C67" s="14"/>
      <c r="P67" s="14"/>
      <c r="AD67" s="14"/>
    </row>
    <row r="68" spans="1:39" x14ac:dyDescent="0.25">
      <c r="C68" s="14"/>
      <c r="P68" s="14"/>
      <c r="AD68" s="14"/>
    </row>
    <row r="69" spans="1:39" x14ac:dyDescent="0.25">
      <c r="C69" s="14"/>
      <c r="P69" s="14"/>
      <c r="AD69" s="14"/>
    </row>
    <row r="70" spans="1:39" x14ac:dyDescent="0.25">
      <c r="B70">
        <f t="shared" ref="B70:B75" si="50">B61/C61</f>
        <v>1.3125</v>
      </c>
      <c r="C70" s="14"/>
      <c r="P70" s="14"/>
      <c r="AD70" s="14"/>
    </row>
    <row r="71" spans="1:39" x14ac:dyDescent="0.25">
      <c r="B71">
        <f t="shared" si="50"/>
        <v>1.8918918918918919</v>
      </c>
      <c r="C71" s="2"/>
      <c r="P71" s="2"/>
      <c r="AD71" s="2"/>
    </row>
    <row r="72" spans="1:39" x14ac:dyDescent="0.25">
      <c r="B72">
        <f t="shared" si="50"/>
        <v>3.8888888888888888</v>
      </c>
      <c r="C72" s="15" t="s">
        <v>63</v>
      </c>
      <c r="D72" s="16">
        <f>SUM(D61:D70)</f>
        <v>2.1714285714285713</v>
      </c>
      <c r="E72" s="15" t="s">
        <v>63</v>
      </c>
      <c r="F72">
        <f>SUM(F61:F70)</f>
        <v>1.0558276643990929</v>
      </c>
      <c r="H72" s="15" t="s">
        <v>63</v>
      </c>
      <c r="I72" s="16">
        <f>SUM(I61:I65)</f>
        <v>5.5679550115332687E-53</v>
      </c>
      <c r="K72" s="15" t="s">
        <v>64</v>
      </c>
      <c r="L72" s="15" t="s">
        <v>65</v>
      </c>
      <c r="P72" s="15" t="s">
        <v>63</v>
      </c>
      <c r="Q72" s="16">
        <f>SUM(Q61:Q70)</f>
        <v>3.0523809523809518</v>
      </c>
      <c r="R72" s="15" t="s">
        <v>63</v>
      </c>
      <c r="S72">
        <f>SUM(S61:S70)</f>
        <v>1.6555782312925167</v>
      </c>
      <c r="U72" s="15" t="s">
        <v>63</v>
      </c>
      <c r="V72" s="16">
        <f>SUM(V61:V65)</f>
        <v>5.5679550115332687E-53</v>
      </c>
      <c r="X72" s="15" t="s">
        <v>64</v>
      </c>
      <c r="Y72" s="15" t="s">
        <v>65</v>
      </c>
      <c r="AD72" s="15" t="s">
        <v>63</v>
      </c>
      <c r="AE72" s="16">
        <f>SUM(AE61:AE70)</f>
        <v>3.6904761904761907</v>
      </c>
      <c r="AF72" s="15" t="s">
        <v>63</v>
      </c>
      <c r="AG72">
        <f>SUM(AG61:AG70)</f>
        <v>2.3196598639455779</v>
      </c>
      <c r="AI72" s="15" t="s">
        <v>63</v>
      </c>
      <c r="AJ72" s="16">
        <f>SUM(AJ61:AJ65)</f>
        <v>5.5679550115332687E-53</v>
      </c>
      <c r="AL72" s="15" t="s">
        <v>64</v>
      </c>
      <c r="AM72" s="15" t="s">
        <v>65</v>
      </c>
    </row>
    <row r="73" spans="1:39" x14ac:dyDescent="0.25">
      <c r="B73">
        <f t="shared" si="50"/>
        <v>4.7727272727272725</v>
      </c>
      <c r="D73" t="s">
        <v>66</v>
      </c>
      <c r="F73" t="s">
        <v>67</v>
      </c>
      <c r="I73" t="s">
        <v>68</v>
      </c>
      <c r="K73">
        <f>SUM(K61:K65)</f>
        <v>1.0158276643990929</v>
      </c>
      <c r="L73">
        <f>(I72-F72)^2</f>
        <v>1.1147720569104436</v>
      </c>
      <c r="Q73" t="s">
        <v>66</v>
      </c>
      <c r="S73" t="s">
        <v>67</v>
      </c>
      <c r="V73" t="s">
        <v>68</v>
      </c>
      <c r="X73">
        <f>SUM(X61:X65)</f>
        <v>1.4759637188208614</v>
      </c>
      <c r="Y73">
        <f>(V72-S72)^2</f>
        <v>2.7409392799296577</v>
      </c>
      <c r="AE73" t="s">
        <v>66</v>
      </c>
      <c r="AG73" t="s">
        <v>67</v>
      </c>
      <c r="AJ73" t="s">
        <v>68</v>
      </c>
      <c r="AL73">
        <f>SUM(AL61:AL65)</f>
        <v>2.0402721088435372</v>
      </c>
      <c r="AM73">
        <f>(AJ72-AG72)^2</f>
        <v>5.3808218844000173</v>
      </c>
    </row>
    <row r="74" spans="1:39" x14ac:dyDescent="0.25">
      <c r="B74">
        <f t="shared" si="50"/>
        <v>4.666666666666667</v>
      </c>
    </row>
    <row r="75" spans="1:39" x14ac:dyDescent="0.25">
      <c r="B75">
        <f t="shared" si="50"/>
        <v>5</v>
      </c>
    </row>
    <row r="77" spans="1:39" x14ac:dyDescent="0.25">
      <c r="B77" t="s">
        <v>21</v>
      </c>
      <c r="C77">
        <v>6690</v>
      </c>
      <c r="F77" t="s">
        <v>8</v>
      </c>
      <c r="G77">
        <v>-12.799999</v>
      </c>
      <c r="O77" t="s">
        <v>21</v>
      </c>
      <c r="P77">
        <v>6690</v>
      </c>
      <c r="S77" t="s">
        <v>8</v>
      </c>
      <c r="T77">
        <v>-12.799999</v>
      </c>
      <c r="AC77" t="s">
        <v>21</v>
      </c>
      <c r="AD77">
        <v>6690</v>
      </c>
      <c r="AG77" t="s">
        <v>8</v>
      </c>
      <c r="AH77">
        <v>-12.799999</v>
      </c>
    </row>
    <row r="78" spans="1:39" x14ac:dyDescent="0.25">
      <c r="B78" t="s">
        <v>69</v>
      </c>
      <c r="C78">
        <v>0.17399999999999999</v>
      </c>
      <c r="F78" s="4" t="s">
        <v>73</v>
      </c>
      <c r="G78">
        <v>0.60000066519457163</v>
      </c>
      <c r="O78" t="s">
        <v>69</v>
      </c>
      <c r="P78">
        <v>0.17399999999999999</v>
      </c>
      <c r="S78" s="4" t="s">
        <v>73</v>
      </c>
      <c r="T78">
        <v>0.60000066519457163</v>
      </c>
      <c r="AC78" t="s">
        <v>69</v>
      </c>
      <c r="AD78">
        <v>0.17399999999999999</v>
      </c>
      <c r="AG78" s="4" t="s">
        <v>73</v>
      </c>
      <c r="AH78">
        <v>0.60000066519457163</v>
      </c>
    </row>
    <row r="79" spans="1:39" x14ac:dyDescent="0.25">
      <c r="F79" t="s">
        <v>70</v>
      </c>
      <c r="G79" s="17">
        <f>1-(K73/L73)</f>
        <v>8.875751046861724E-2</v>
      </c>
      <c r="S79" t="s">
        <v>70</v>
      </c>
      <c r="T79" s="17">
        <f>1-(X73/Y73)</f>
        <v>0.461511705265233</v>
      </c>
      <c r="AG79" t="s">
        <v>70</v>
      </c>
      <c r="AH79" s="17">
        <f>1-(AL73/AM73)</f>
        <v>0.6208251912670335</v>
      </c>
    </row>
    <row r="81" spans="1:39" x14ac:dyDescent="0.25">
      <c r="B81" s="10" t="s">
        <v>6</v>
      </c>
      <c r="C81" s="10" t="s">
        <v>7</v>
      </c>
      <c r="D81" s="10"/>
      <c r="E81" s="10"/>
      <c r="F81" s="10"/>
      <c r="G81" s="10"/>
      <c r="H81" s="18"/>
      <c r="I81" s="10"/>
      <c r="O81" s="10" t="s">
        <v>6</v>
      </c>
      <c r="P81" s="10" t="s">
        <v>7</v>
      </c>
      <c r="Q81" s="10"/>
      <c r="R81" s="10"/>
      <c r="S81" s="10"/>
      <c r="T81" s="10"/>
      <c r="U81" s="18"/>
      <c r="V81" s="10"/>
      <c r="AC81" s="10" t="s">
        <v>6</v>
      </c>
      <c r="AD81" s="10" t="s">
        <v>7</v>
      </c>
      <c r="AE81" s="10"/>
      <c r="AF81" s="10"/>
      <c r="AG81" s="10"/>
      <c r="AH81" s="10"/>
      <c r="AI81" s="18"/>
      <c r="AJ81" s="10"/>
    </row>
    <row r="82" spans="1:39" x14ac:dyDescent="0.25">
      <c r="B82">
        <f>SLOPE(D61:D66,E61:E66)</f>
        <v>0.40586289823012783</v>
      </c>
      <c r="C82">
        <f>INTERCEPT(D61:D66,E61:E66)</f>
        <v>0.53296320985428736</v>
      </c>
      <c r="H82" s="17"/>
      <c r="O82">
        <f>SLOPE(Q61:Q66,R61:R66)</f>
        <v>0.57173268681911749</v>
      </c>
      <c r="P82">
        <f>INTERCEPT(Q61:Q66,R61:R66)</f>
        <v>0.48708884656694851</v>
      </c>
      <c r="U82" s="17"/>
      <c r="AC82">
        <f>SLOPE(AE61:AE66,AF61:AF66)</f>
        <v>0.63424679059824396</v>
      </c>
      <c r="AD82">
        <f>INTERCEPT(AE61:AE66,AF61:AF66)</f>
        <v>0.45941703478421902</v>
      </c>
      <c r="AI82" s="17"/>
    </row>
    <row r="85" spans="1:39" x14ac:dyDescent="0.25">
      <c r="B85" s="28" t="s">
        <v>81</v>
      </c>
      <c r="C85" s="28"/>
      <c r="D85" s="28"/>
      <c r="E85" s="28"/>
      <c r="G85" s="28" t="s">
        <v>82</v>
      </c>
      <c r="H85" s="28"/>
      <c r="I85" s="28"/>
      <c r="J85" s="28"/>
    </row>
    <row r="86" spans="1:39" x14ac:dyDescent="0.25">
      <c r="C86" s="11" t="s">
        <v>25</v>
      </c>
      <c r="D86" s="1" t="s">
        <v>27</v>
      </c>
      <c r="E86" s="1" t="s">
        <v>29</v>
      </c>
      <c r="H86" s="11" t="s">
        <v>25</v>
      </c>
      <c r="I86" s="1" t="s">
        <v>27</v>
      </c>
      <c r="J86" s="1" t="s">
        <v>29</v>
      </c>
    </row>
    <row r="87" spans="1:39" x14ac:dyDescent="0.25">
      <c r="B87" t="s">
        <v>78</v>
      </c>
      <c r="C87" s="11" t="s">
        <v>26</v>
      </c>
      <c r="D87" s="6" t="s">
        <v>28</v>
      </c>
      <c r="E87" s="6" t="s">
        <v>30</v>
      </c>
      <c r="G87" t="s">
        <v>78</v>
      </c>
      <c r="H87" s="11" t="s">
        <v>26</v>
      </c>
      <c r="I87" s="6" t="s">
        <v>28</v>
      </c>
      <c r="J87" s="6" t="s">
        <v>30</v>
      </c>
    </row>
    <row r="88" spans="1:39" x14ac:dyDescent="0.25">
      <c r="B88">
        <f>A61</f>
        <v>10</v>
      </c>
      <c r="C88" s="2">
        <f>H61</f>
        <v>1.3125</v>
      </c>
      <c r="D88" s="2">
        <f>U61</f>
        <v>1.2883435582822087</v>
      </c>
      <c r="E88" s="2">
        <f>AI61</f>
        <v>1.3125</v>
      </c>
      <c r="G88">
        <f>A61</f>
        <v>10</v>
      </c>
      <c r="H88" s="2">
        <f>D61</f>
        <v>0.76190476190476186</v>
      </c>
      <c r="I88" s="2">
        <f>Q61</f>
        <v>0.7761904761904761</v>
      </c>
      <c r="J88" s="2">
        <f>AE61</f>
        <v>0.76190476190476186</v>
      </c>
    </row>
    <row r="89" spans="1:39" x14ac:dyDescent="0.25">
      <c r="B89">
        <f t="shared" ref="B89:B93" si="51">A62</f>
        <v>20</v>
      </c>
      <c r="C89" s="2">
        <f t="shared" ref="C89:C93" si="52">H62</f>
        <v>1.8918918918918919</v>
      </c>
      <c r="D89" s="2">
        <f t="shared" ref="D89:D93" si="53">U62</f>
        <v>1.7500000000000002</v>
      </c>
      <c r="E89" s="2">
        <f t="shared" ref="E89:E93" si="54">AI62</f>
        <v>1.4000000000000001</v>
      </c>
      <c r="G89">
        <f t="shared" ref="G89:G93" si="55">A62</f>
        <v>20</v>
      </c>
      <c r="H89" s="2">
        <f t="shared" ref="H89:H93" si="56">D62</f>
        <v>0.52857142857142858</v>
      </c>
      <c r="I89" s="2">
        <f t="shared" ref="I89:I93" si="57">Q62</f>
        <v>0.5714285714285714</v>
      </c>
      <c r="J89" s="2">
        <f t="shared" ref="J89:J93" si="58">AE62</f>
        <v>0.7142857142857143</v>
      </c>
    </row>
    <row r="90" spans="1:39" x14ac:dyDescent="0.25">
      <c r="B90">
        <f t="shared" si="51"/>
        <v>30</v>
      </c>
      <c r="C90" s="2">
        <f t="shared" si="52"/>
        <v>3.8888888888888888</v>
      </c>
      <c r="D90" s="2">
        <f t="shared" si="53"/>
        <v>2.3595505617977528</v>
      </c>
      <c r="E90" s="2">
        <f t="shared" si="54"/>
        <v>1.6935483870967742</v>
      </c>
      <c r="G90">
        <f t="shared" si="55"/>
        <v>30</v>
      </c>
      <c r="H90" s="2">
        <f t="shared" si="56"/>
        <v>0.25714285714285717</v>
      </c>
      <c r="I90" s="2">
        <f t="shared" si="57"/>
        <v>0.4238095238095238</v>
      </c>
      <c r="J90" s="2">
        <f t="shared" si="58"/>
        <v>0.59047619047619049</v>
      </c>
    </row>
    <row r="91" spans="1:39" x14ac:dyDescent="0.25">
      <c r="B91">
        <f t="shared" si="51"/>
        <v>40</v>
      </c>
      <c r="C91" s="2">
        <f t="shared" si="52"/>
        <v>4.7727272727272725</v>
      </c>
      <c r="D91" s="2">
        <f t="shared" si="53"/>
        <v>2.3333333333333335</v>
      </c>
      <c r="E91" s="2">
        <f t="shared" si="54"/>
        <v>1.7500000000000002</v>
      </c>
      <c r="G91">
        <f t="shared" si="55"/>
        <v>40</v>
      </c>
      <c r="H91" s="2">
        <f t="shared" si="56"/>
        <v>0.20952380952380953</v>
      </c>
      <c r="I91" s="2">
        <f t="shared" si="57"/>
        <v>0.42857142857142855</v>
      </c>
      <c r="J91" s="2">
        <f t="shared" si="58"/>
        <v>0.5714285714285714</v>
      </c>
    </row>
    <row r="92" spans="1:39" x14ac:dyDescent="0.25">
      <c r="B92">
        <f t="shared" si="51"/>
        <v>50</v>
      </c>
      <c r="C92" s="2">
        <f t="shared" si="52"/>
        <v>4.666666666666667</v>
      </c>
      <c r="D92" s="2">
        <f t="shared" si="53"/>
        <v>2.3333333333333335</v>
      </c>
      <c r="E92" s="2">
        <f t="shared" si="54"/>
        <v>1.9090909090909089</v>
      </c>
      <c r="G92">
        <f t="shared" si="55"/>
        <v>50</v>
      </c>
      <c r="H92" s="2">
        <f t="shared" si="56"/>
        <v>0.21428571428571427</v>
      </c>
      <c r="I92" s="2">
        <f t="shared" si="57"/>
        <v>0.42857142857142855</v>
      </c>
      <c r="J92" s="2">
        <f t="shared" si="58"/>
        <v>0.52380952380952384</v>
      </c>
    </row>
    <row r="93" spans="1:39" x14ac:dyDescent="0.25">
      <c r="B93">
        <f t="shared" si="51"/>
        <v>60</v>
      </c>
      <c r="C93" s="2">
        <f t="shared" si="52"/>
        <v>5</v>
      </c>
      <c r="D93" s="2">
        <f t="shared" si="53"/>
        <v>2.3595505617977528</v>
      </c>
      <c r="E93" s="2">
        <f t="shared" si="54"/>
        <v>1.8918918918918919</v>
      </c>
      <c r="G93">
        <f t="shared" si="55"/>
        <v>60</v>
      </c>
      <c r="H93" s="2">
        <f t="shared" si="56"/>
        <v>0.19999999999999998</v>
      </c>
      <c r="I93" s="2">
        <f t="shared" si="57"/>
        <v>0.4238095238095238</v>
      </c>
      <c r="J93" s="2">
        <f t="shared" si="58"/>
        <v>0.52857142857142858</v>
      </c>
    </row>
    <row r="95" spans="1:39" x14ac:dyDescent="0.25">
      <c r="A95" s="28" t="s">
        <v>75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N95" s="28" t="s">
        <v>75</v>
      </c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AB95" s="28" t="s">
        <v>75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</row>
    <row r="96" spans="1:39" x14ac:dyDescent="0.25">
      <c r="B96" s="28" t="s">
        <v>57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O96" s="28" t="s">
        <v>57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AC96" s="28" t="s">
        <v>57</v>
      </c>
      <c r="AD96" s="28"/>
      <c r="AE96" s="28"/>
      <c r="AF96" s="28"/>
      <c r="AG96" s="28"/>
      <c r="AH96" s="28"/>
      <c r="AI96" s="28"/>
      <c r="AJ96" s="28"/>
      <c r="AK96" s="28"/>
      <c r="AL96" s="28"/>
      <c r="AM96" s="28"/>
    </row>
    <row r="97" spans="1:39" x14ac:dyDescent="0.25">
      <c r="B97" s="28" t="s">
        <v>58</v>
      </c>
      <c r="C97" s="28"/>
      <c r="D97" s="28"/>
      <c r="E97" s="13" t="s">
        <v>59</v>
      </c>
      <c r="I97" s="1" t="s">
        <v>5</v>
      </c>
      <c r="K97" s="1" t="s">
        <v>59</v>
      </c>
      <c r="O97" s="28" t="s">
        <v>58</v>
      </c>
      <c r="P97" s="28"/>
      <c r="Q97" s="28"/>
      <c r="R97" s="13" t="s">
        <v>59</v>
      </c>
      <c r="V97" s="1" t="s">
        <v>5</v>
      </c>
      <c r="X97" s="1" t="s">
        <v>59</v>
      </c>
      <c r="AC97" s="28" t="s">
        <v>58</v>
      </c>
      <c r="AD97" s="28"/>
      <c r="AE97" s="28"/>
      <c r="AF97" s="13" t="s">
        <v>59</v>
      </c>
      <c r="AJ97" s="1" t="s">
        <v>5</v>
      </c>
      <c r="AL97" s="1" t="s">
        <v>59</v>
      </c>
    </row>
    <row r="98" spans="1:39" x14ac:dyDescent="0.25">
      <c r="B98" s="9"/>
      <c r="C98" s="9" t="s">
        <v>25</v>
      </c>
      <c r="D98" s="9"/>
      <c r="E98" s="13"/>
      <c r="I98" s="1"/>
      <c r="K98" s="1"/>
      <c r="O98" s="9"/>
      <c r="P98" s="1" t="s">
        <v>27</v>
      </c>
      <c r="Q98" s="9"/>
      <c r="R98" s="13"/>
      <c r="V98" s="1"/>
      <c r="X98" s="1"/>
      <c r="AC98" s="9"/>
      <c r="AD98" s="1" t="s">
        <v>29</v>
      </c>
      <c r="AE98" s="9"/>
      <c r="AF98" s="13"/>
      <c r="AJ98" s="1"/>
      <c r="AL98" s="1"/>
    </row>
    <row r="99" spans="1:39" x14ac:dyDescent="0.25">
      <c r="B99" s="9"/>
      <c r="C99" s="9" t="s">
        <v>26</v>
      </c>
      <c r="D99" s="9"/>
      <c r="E99" s="13"/>
      <c r="H99" t="s">
        <v>77</v>
      </c>
      <c r="I99" s="1"/>
      <c r="K99" s="1"/>
      <c r="O99" s="9"/>
      <c r="P99" s="6" t="s">
        <v>28</v>
      </c>
      <c r="Q99" s="9"/>
      <c r="R99" s="13"/>
      <c r="U99" t="s">
        <v>77</v>
      </c>
      <c r="V99" s="1"/>
      <c r="X99" s="1"/>
      <c r="AC99" s="9"/>
      <c r="AD99" s="6" t="s">
        <v>30</v>
      </c>
      <c r="AE99" s="9"/>
      <c r="AF99" s="13"/>
      <c r="AI99" t="s">
        <v>77</v>
      </c>
      <c r="AJ99" s="1"/>
      <c r="AL99" s="1"/>
    </row>
    <row r="100" spans="1:39" ht="18" x14ac:dyDescent="0.35">
      <c r="A100" s="7" t="s">
        <v>0</v>
      </c>
      <c r="B100" t="s">
        <v>1</v>
      </c>
      <c r="C100" t="s">
        <v>2</v>
      </c>
      <c r="D100" s="10" t="s">
        <v>71</v>
      </c>
      <c r="E100" t="s">
        <v>60</v>
      </c>
      <c r="H100" t="s">
        <v>76</v>
      </c>
      <c r="I100" s="10" t="s">
        <v>72</v>
      </c>
      <c r="K100" t="s">
        <v>61</v>
      </c>
      <c r="N100" s="7" t="s">
        <v>0</v>
      </c>
      <c r="O100" t="s">
        <v>1</v>
      </c>
      <c r="P100" t="s">
        <v>2</v>
      </c>
      <c r="Q100" s="10" t="s">
        <v>71</v>
      </c>
      <c r="R100" t="s">
        <v>60</v>
      </c>
      <c r="U100" t="s">
        <v>76</v>
      </c>
      <c r="V100" s="10" t="s">
        <v>72</v>
      </c>
      <c r="X100" t="s">
        <v>61</v>
      </c>
      <c r="AB100" s="7" t="s">
        <v>0</v>
      </c>
      <c r="AC100" t="s">
        <v>1</v>
      </c>
      <c r="AD100" t="s">
        <v>2</v>
      </c>
      <c r="AE100" s="10" t="s">
        <v>71</v>
      </c>
      <c r="AF100" t="s">
        <v>60</v>
      </c>
      <c r="AI100" t="s">
        <v>76</v>
      </c>
      <c r="AJ100" s="10" t="s">
        <v>72</v>
      </c>
      <c r="AL100" t="s">
        <v>61</v>
      </c>
    </row>
    <row r="101" spans="1:39" x14ac:dyDescent="0.25">
      <c r="A101">
        <v>10</v>
      </c>
      <c r="B101">
        <v>2.1</v>
      </c>
      <c r="C101" s="3">
        <f>H5</f>
        <v>1.8966666666666665</v>
      </c>
      <c r="D101">
        <f>C101/B101</f>
        <v>0.90317460317460307</v>
      </c>
      <c r="E101">
        <f t="shared" ref="E101:E106" si="59">LN(C101)</f>
        <v>0.64009795947012982</v>
      </c>
      <c r="F101">
        <f>(D101-$D$28)^2</f>
        <v>0.81572436381960178</v>
      </c>
      <c r="G101" t="s">
        <v>62</v>
      </c>
      <c r="H101" s="2">
        <f>B101/C101</f>
        <v>1.1072056239015819</v>
      </c>
      <c r="I101">
        <f>(1/(1+EXP($G$36*($G$37-A101))))</f>
        <v>5.5679550115332687E-53</v>
      </c>
      <c r="K101">
        <f>(D101-I101)^2</f>
        <v>0.81572436381960178</v>
      </c>
      <c r="N101">
        <v>10</v>
      </c>
      <c r="O101">
        <v>2.1</v>
      </c>
      <c r="P101" s="3">
        <f>I5</f>
        <v>1.8</v>
      </c>
      <c r="Q101">
        <f>P101/O101</f>
        <v>0.8571428571428571</v>
      </c>
      <c r="R101">
        <f t="shared" ref="R101:R106" si="60">LN(P101)</f>
        <v>0.58778666490211906</v>
      </c>
      <c r="S101">
        <f>(Q101-$D$28)^2</f>
        <v>0.73469387755102034</v>
      </c>
      <c r="T101" t="s">
        <v>62</v>
      </c>
      <c r="U101">
        <f>O101/P101</f>
        <v>1.1666666666666667</v>
      </c>
      <c r="V101">
        <f>(1/(1+EXP($G$36*($G$37-N101))))</f>
        <v>5.5679550115332687E-53</v>
      </c>
      <c r="X101">
        <f>(Q101-V101)^2</f>
        <v>0.73469387755102034</v>
      </c>
      <c r="AB101">
        <v>10</v>
      </c>
      <c r="AC101">
        <v>2.1</v>
      </c>
      <c r="AD101" s="3">
        <f>J5</f>
        <v>1.8466666666666667</v>
      </c>
      <c r="AE101">
        <f>AD101/AC101</f>
        <v>0.87936507936507935</v>
      </c>
      <c r="AF101">
        <f t="shared" ref="AF101:AF106" si="61">LN(AD101)</f>
        <v>0.61338221209108279</v>
      </c>
      <c r="AG101">
        <f>(AE101-$D$28)^2</f>
        <v>0.77328294280675225</v>
      </c>
      <c r="AH101" t="s">
        <v>62</v>
      </c>
      <c r="AI101">
        <f>AC101/AD101</f>
        <v>1.1371841155234657</v>
      </c>
      <c r="AJ101">
        <f>(1/(1+EXP($G$36*($G$37-AB101))))</f>
        <v>5.5679550115332687E-53</v>
      </c>
      <c r="AL101">
        <f>(AE101-AJ101)^2</f>
        <v>0.77328294280675225</v>
      </c>
    </row>
    <row r="102" spans="1:39" x14ac:dyDescent="0.25">
      <c r="A102">
        <v>20</v>
      </c>
      <c r="B102">
        <v>2.1</v>
      </c>
      <c r="C102" s="3">
        <f t="shared" ref="C102:C106" si="62">H6</f>
        <v>0.90666666666666673</v>
      </c>
      <c r="D102">
        <f t="shared" ref="D102:D106" si="63">C102/B102</f>
        <v>0.43174603174603177</v>
      </c>
      <c r="E102">
        <f t="shared" si="59"/>
        <v>-9.7980408360203664E-2</v>
      </c>
      <c r="F102">
        <f t="shared" ref="F102:F106" si="64">(D102-$D$28)^2</f>
        <v>0.18640463592844547</v>
      </c>
      <c r="H102" s="2">
        <f t="shared" ref="H102:H106" si="65">B102/C102</f>
        <v>2.3161764705882351</v>
      </c>
      <c r="I102">
        <f t="shared" ref="I102:I104" si="66">(1/(1+EXP($G$36*($G$37-A102))))</f>
        <v>1.4322089287293792E-108</v>
      </c>
      <c r="K102">
        <f t="shared" ref="K102:K105" si="67">(D102-I102)^2</f>
        <v>0.18640463592844547</v>
      </c>
      <c r="N102">
        <v>20</v>
      </c>
      <c r="O102">
        <v>2.1</v>
      </c>
      <c r="P102" s="3">
        <f t="shared" ref="P102:P106" si="68">I6</f>
        <v>1.2766666666666666</v>
      </c>
      <c r="Q102">
        <f t="shared" ref="Q102:Q106" si="69">P102/O102</f>
        <v>0.60793650793650789</v>
      </c>
      <c r="R102">
        <f t="shared" si="60"/>
        <v>0.24425251452444488</v>
      </c>
      <c r="S102">
        <f t="shared" ref="S102:S106" si="70">(Q102-$D$28)^2</f>
        <v>0.36958679768203573</v>
      </c>
      <c r="U102">
        <f t="shared" ref="U102:U106" si="71">O102/P102</f>
        <v>1.6449086161879898</v>
      </c>
      <c r="V102">
        <f t="shared" ref="V102:V106" si="72">(1/(1+EXP($G$36*($G$37-N102))))</f>
        <v>1.4322089287293792E-108</v>
      </c>
      <c r="X102">
        <f t="shared" ref="X102:X106" si="73">(Q102-V102)^2</f>
        <v>0.36958679768203573</v>
      </c>
      <c r="AB102">
        <v>20</v>
      </c>
      <c r="AC102">
        <v>2.1</v>
      </c>
      <c r="AD102" s="3">
        <f t="shared" ref="AD102:AD106" si="74">J6</f>
        <v>1.1399999999999999</v>
      </c>
      <c r="AE102">
        <f t="shared" ref="AE102:AE106" si="75">AD102/AC102</f>
        <v>0.54285714285714282</v>
      </c>
      <c r="AF102">
        <f t="shared" si="61"/>
        <v>0.131028262406404</v>
      </c>
      <c r="AG102">
        <f t="shared" ref="AG102:AG106" si="76">(AE102-$D$28)^2</f>
        <v>0.29469387755102039</v>
      </c>
      <c r="AI102">
        <f t="shared" ref="AI102:AI106" si="77">AC102/AD102</f>
        <v>1.8421052631578949</v>
      </c>
      <c r="AJ102">
        <f t="shared" ref="AJ102:AJ106" si="78">(1/(1+EXP($G$36*($G$37-AB102))))</f>
        <v>1.4322089287293792E-108</v>
      </c>
      <c r="AL102">
        <f t="shared" ref="AL102:AL106" si="79">(AE102-AJ102)^2</f>
        <v>0.29469387755102039</v>
      </c>
    </row>
    <row r="103" spans="1:39" x14ac:dyDescent="0.25">
      <c r="A103">
        <v>30</v>
      </c>
      <c r="B103">
        <v>2.1</v>
      </c>
      <c r="C103" s="3">
        <f t="shared" si="62"/>
        <v>0.34999999999999992</v>
      </c>
      <c r="D103">
        <f t="shared" si="63"/>
        <v>0.16666666666666663</v>
      </c>
      <c r="E103">
        <f t="shared" si="59"/>
        <v>-1.0498221244986778</v>
      </c>
      <c r="F103">
        <f t="shared" si="64"/>
        <v>2.7777777777777766E-2</v>
      </c>
      <c r="H103" s="2">
        <f t="shared" si="65"/>
        <v>6.0000000000000018</v>
      </c>
      <c r="I103">
        <f t="shared" si="66"/>
        <v>3.6839780696563715E-164</v>
      </c>
      <c r="K103">
        <f t="shared" si="67"/>
        <v>2.7777777777777766E-2</v>
      </c>
      <c r="N103">
        <v>30</v>
      </c>
      <c r="O103">
        <v>2.1</v>
      </c>
      <c r="P103" s="3">
        <f t="shared" si="68"/>
        <v>0.93666666666666665</v>
      </c>
      <c r="Q103">
        <f t="shared" si="69"/>
        <v>0.446031746031746</v>
      </c>
      <c r="R103">
        <f t="shared" si="60"/>
        <v>-6.5427805322455318E-2</v>
      </c>
      <c r="S103">
        <f t="shared" si="70"/>
        <v>0.19894431846812796</v>
      </c>
      <c r="U103">
        <f t="shared" si="71"/>
        <v>2.2419928825622777</v>
      </c>
      <c r="V103">
        <f t="shared" si="72"/>
        <v>3.6839780696563715E-164</v>
      </c>
      <c r="X103">
        <f t="shared" si="73"/>
        <v>0.19894431846812796</v>
      </c>
      <c r="AB103">
        <v>30</v>
      </c>
      <c r="AC103">
        <v>2.1</v>
      </c>
      <c r="AD103" s="3">
        <f t="shared" si="74"/>
        <v>1.01</v>
      </c>
      <c r="AE103">
        <f t="shared" si="75"/>
        <v>0.48095238095238091</v>
      </c>
      <c r="AF103">
        <f t="shared" si="61"/>
        <v>9.950330853168092E-3</v>
      </c>
      <c r="AG103">
        <f t="shared" si="76"/>
        <v>0.23131519274376414</v>
      </c>
      <c r="AI103">
        <f t="shared" si="77"/>
        <v>2.0792079207920793</v>
      </c>
      <c r="AJ103">
        <f t="shared" si="78"/>
        <v>3.6839780696563715E-164</v>
      </c>
      <c r="AL103">
        <f t="shared" si="79"/>
        <v>0.23131519274376414</v>
      </c>
    </row>
    <row r="104" spans="1:39" x14ac:dyDescent="0.25">
      <c r="A104">
        <v>40</v>
      </c>
      <c r="B104">
        <v>2.1</v>
      </c>
      <c r="C104" s="3">
        <f t="shared" si="62"/>
        <v>0.19666666666666668</v>
      </c>
      <c r="D104">
        <f t="shared" si="63"/>
        <v>9.3650793650793651E-2</v>
      </c>
      <c r="E104">
        <f t="shared" si="59"/>
        <v>-1.6262450307504814</v>
      </c>
      <c r="F104">
        <f t="shared" si="64"/>
        <v>8.7704711514235319E-3</v>
      </c>
      <c r="H104" s="2">
        <f t="shared" si="65"/>
        <v>10.677966101694915</v>
      </c>
      <c r="I104">
        <f t="shared" si="66"/>
        <v>9.4760576794825231E-220</v>
      </c>
      <c r="K104">
        <f t="shared" si="67"/>
        <v>8.7704711514235319E-3</v>
      </c>
      <c r="N104">
        <v>40</v>
      </c>
      <c r="O104">
        <v>2.1</v>
      </c>
      <c r="P104" s="3">
        <f t="shared" si="68"/>
        <v>0.71333333333333326</v>
      </c>
      <c r="Q104">
        <f t="shared" si="69"/>
        <v>0.33968253968253964</v>
      </c>
      <c r="R104">
        <f t="shared" si="60"/>
        <v>-0.33780645963434969</v>
      </c>
      <c r="S104">
        <f t="shared" si="70"/>
        <v>0.11538422776518012</v>
      </c>
      <c r="U104">
        <f t="shared" si="71"/>
        <v>2.94392523364486</v>
      </c>
      <c r="V104">
        <f t="shared" si="72"/>
        <v>9.4760576794825231E-220</v>
      </c>
      <c r="X104">
        <f t="shared" si="73"/>
        <v>0.11538422776518012</v>
      </c>
      <c r="AB104">
        <v>40</v>
      </c>
      <c r="AC104">
        <v>2.1</v>
      </c>
      <c r="AD104" s="3">
        <f t="shared" si="74"/>
        <v>0.65666666666666673</v>
      </c>
      <c r="AE104">
        <f t="shared" si="75"/>
        <v>0.3126984126984127</v>
      </c>
      <c r="AF104">
        <f t="shared" si="61"/>
        <v>-0.42057874591821243</v>
      </c>
      <c r="AG104">
        <f t="shared" si="76"/>
        <v>9.7780297304106825E-2</v>
      </c>
      <c r="AI104">
        <f t="shared" si="77"/>
        <v>3.1979695431472082</v>
      </c>
      <c r="AJ104">
        <f t="shared" si="78"/>
        <v>9.4760576794825231E-220</v>
      </c>
      <c r="AL104">
        <f t="shared" si="79"/>
        <v>9.7780297304106825E-2</v>
      </c>
    </row>
    <row r="105" spans="1:39" x14ac:dyDescent="0.25">
      <c r="A105">
        <v>50</v>
      </c>
      <c r="B105">
        <v>2.1</v>
      </c>
      <c r="C105" s="3">
        <f t="shared" si="62"/>
        <v>0.18333333333333335</v>
      </c>
      <c r="D105">
        <f t="shared" si="63"/>
        <v>8.7301587301587311E-2</v>
      </c>
      <c r="E105">
        <f t="shared" si="59"/>
        <v>-1.69644928942373</v>
      </c>
      <c r="F105">
        <f t="shared" si="64"/>
        <v>7.6215671453766709E-3</v>
      </c>
      <c r="H105" s="2">
        <f t="shared" si="65"/>
        <v>11.454545454545453</v>
      </c>
      <c r="I105">
        <f>(1/(1+EXP($G$36*($G$37-A105))))</f>
        <v>2.4374648124128357E-275</v>
      </c>
      <c r="K105">
        <f t="shared" si="67"/>
        <v>7.6215671453766709E-3</v>
      </c>
      <c r="N105">
        <v>50</v>
      </c>
      <c r="O105">
        <v>2.1</v>
      </c>
      <c r="P105" s="3">
        <f t="shared" si="68"/>
        <v>0.57999999999999996</v>
      </c>
      <c r="Q105">
        <f t="shared" si="69"/>
        <v>0.27619047619047615</v>
      </c>
      <c r="R105">
        <f t="shared" si="60"/>
        <v>-0.54472717544167215</v>
      </c>
      <c r="S105">
        <f t="shared" si="70"/>
        <v>7.628117913832197E-2</v>
      </c>
      <c r="U105">
        <f t="shared" si="71"/>
        <v>3.6206896551724141</v>
      </c>
      <c r="V105">
        <f t="shared" si="72"/>
        <v>2.4374648124128357E-275</v>
      </c>
      <c r="X105">
        <f t="shared" si="73"/>
        <v>7.628117913832197E-2</v>
      </c>
      <c r="AB105">
        <v>50</v>
      </c>
      <c r="AC105">
        <v>2.1</v>
      </c>
      <c r="AD105" s="3">
        <f t="shared" si="74"/>
        <v>0.58333333333333337</v>
      </c>
      <c r="AE105">
        <f t="shared" si="75"/>
        <v>0.27777777777777779</v>
      </c>
      <c r="AF105">
        <f t="shared" si="61"/>
        <v>-0.5389965007326869</v>
      </c>
      <c r="AG105">
        <f t="shared" si="76"/>
        <v>7.7160493827160503E-2</v>
      </c>
      <c r="AI105">
        <f t="shared" si="77"/>
        <v>3.6</v>
      </c>
      <c r="AJ105">
        <f t="shared" si="78"/>
        <v>2.4374648124128357E-275</v>
      </c>
      <c r="AL105">
        <f t="shared" si="79"/>
        <v>7.7160493827160503E-2</v>
      </c>
    </row>
    <row r="106" spans="1:39" x14ac:dyDescent="0.25">
      <c r="A106">
        <v>60</v>
      </c>
      <c r="B106">
        <v>2.1</v>
      </c>
      <c r="C106" s="3">
        <f t="shared" si="62"/>
        <v>0.1466666666666667</v>
      </c>
      <c r="D106">
        <f t="shared" si="63"/>
        <v>6.9841269841269857E-2</v>
      </c>
      <c r="E106">
        <f t="shared" si="59"/>
        <v>-1.9195928407379397</v>
      </c>
      <c r="F106">
        <f t="shared" si="64"/>
        <v>4.8778029730410701E-3</v>
      </c>
      <c r="H106" s="2">
        <f t="shared" si="65"/>
        <v>14.318181818181817</v>
      </c>
      <c r="I106" t="e">
        <f>(1/(1+EXP($G$36*($G$37-A106))))</f>
        <v>#NUM!</v>
      </c>
      <c r="K106" t="e">
        <f>(D106-I106)^2</f>
        <v>#NUM!</v>
      </c>
      <c r="N106">
        <v>60</v>
      </c>
      <c r="O106">
        <v>2.1</v>
      </c>
      <c r="P106" s="3">
        <f t="shared" si="68"/>
        <v>0.54333333333333333</v>
      </c>
      <c r="Q106">
        <f t="shared" si="69"/>
        <v>0.2587301587301587</v>
      </c>
      <c r="R106">
        <f t="shared" si="60"/>
        <v>-0.6100322738494387</v>
      </c>
      <c r="S106">
        <f t="shared" si="70"/>
        <v>6.6941295036533122E-2</v>
      </c>
      <c r="U106">
        <f t="shared" si="71"/>
        <v>3.8650306748466261</v>
      </c>
      <c r="V106" t="e">
        <f t="shared" si="72"/>
        <v>#NUM!</v>
      </c>
      <c r="X106" t="e">
        <f t="shared" si="73"/>
        <v>#NUM!</v>
      </c>
      <c r="AB106">
        <v>60</v>
      </c>
      <c r="AC106">
        <v>2.1</v>
      </c>
      <c r="AD106" s="3">
        <f t="shared" si="74"/>
        <v>0.60666666666666658</v>
      </c>
      <c r="AE106">
        <f t="shared" si="75"/>
        <v>0.28888888888888881</v>
      </c>
      <c r="AF106">
        <f t="shared" si="61"/>
        <v>-0.49977578757940588</v>
      </c>
      <c r="AG106">
        <f t="shared" si="76"/>
        <v>8.3456790123456748E-2</v>
      </c>
      <c r="AI106">
        <f t="shared" si="77"/>
        <v>3.4615384615384621</v>
      </c>
      <c r="AJ106" t="e">
        <f t="shared" si="78"/>
        <v>#NUM!</v>
      </c>
      <c r="AL106" t="e">
        <f t="shared" si="79"/>
        <v>#NUM!</v>
      </c>
    </row>
    <row r="107" spans="1:39" x14ac:dyDescent="0.25">
      <c r="C107" s="14"/>
      <c r="P107" s="14"/>
      <c r="AD107" s="14"/>
    </row>
    <row r="108" spans="1:39" x14ac:dyDescent="0.25">
      <c r="C108" s="14"/>
      <c r="P108" s="14"/>
      <c r="AD108" s="14"/>
    </row>
    <row r="109" spans="1:39" x14ac:dyDescent="0.25">
      <c r="C109" s="14"/>
      <c r="P109" s="14"/>
      <c r="AD109" s="14"/>
    </row>
    <row r="110" spans="1:39" x14ac:dyDescent="0.25">
      <c r="C110" s="14"/>
      <c r="P110" s="14"/>
      <c r="AD110" s="14"/>
    </row>
    <row r="111" spans="1:39" x14ac:dyDescent="0.25">
      <c r="C111" s="2"/>
      <c r="P111" s="2"/>
      <c r="AD111" s="2"/>
    </row>
    <row r="112" spans="1:39" x14ac:dyDescent="0.25">
      <c r="C112" s="15" t="s">
        <v>63</v>
      </c>
      <c r="D112" s="16">
        <f>SUM(D101:D110)</f>
        <v>1.7523809523809524</v>
      </c>
      <c r="E112" s="15" t="s">
        <v>63</v>
      </c>
      <c r="F112">
        <f>SUM(F101:F110)</f>
        <v>1.0511766187956664</v>
      </c>
      <c r="H112" s="15" t="s">
        <v>63</v>
      </c>
      <c r="I112" s="16">
        <f>SUM(I101:I105)</f>
        <v>5.5679550115332687E-53</v>
      </c>
      <c r="K112" s="15" t="s">
        <v>64</v>
      </c>
      <c r="L112" s="15" t="s">
        <v>65</v>
      </c>
      <c r="P112" s="15" t="s">
        <v>63</v>
      </c>
      <c r="Q112" s="16">
        <f>SUM(Q101:Q110)</f>
        <v>2.7857142857142856</v>
      </c>
      <c r="R112" s="15" t="s">
        <v>63</v>
      </c>
      <c r="S112">
        <f>SUM(S101:S110)</f>
        <v>1.5618316956412193</v>
      </c>
      <c r="U112" s="15" t="s">
        <v>63</v>
      </c>
      <c r="V112" s="16">
        <f>SUM(V101:V105)</f>
        <v>5.5679550115332687E-53</v>
      </c>
      <c r="X112" s="15" t="s">
        <v>64</v>
      </c>
      <c r="Y112" s="15" t="s">
        <v>65</v>
      </c>
      <c r="AD112" s="15" t="s">
        <v>63</v>
      </c>
      <c r="AE112" s="16">
        <f>SUM(AE101:AE110)</f>
        <v>2.7825396825396824</v>
      </c>
      <c r="AF112" s="15" t="s">
        <v>63</v>
      </c>
      <c r="AG112">
        <f>SUM(AG101:AG110)</f>
        <v>1.557689594356261</v>
      </c>
      <c r="AI112" s="15" t="s">
        <v>63</v>
      </c>
      <c r="AJ112" s="16">
        <f>SUM(AJ101:AJ105)</f>
        <v>5.5679550115332687E-53</v>
      </c>
      <c r="AL112" s="15" t="s">
        <v>64</v>
      </c>
      <c r="AM112" s="15" t="s">
        <v>65</v>
      </c>
    </row>
    <row r="113" spans="2:39" x14ac:dyDescent="0.25">
      <c r="D113" t="s">
        <v>66</v>
      </c>
      <c r="F113" t="s">
        <v>67</v>
      </c>
      <c r="I113" t="s">
        <v>68</v>
      </c>
      <c r="K113">
        <f>SUM(K101:K105)</f>
        <v>1.0462988158226254</v>
      </c>
      <c r="L113">
        <f>(I112-F112)^2</f>
        <v>1.1049722839026896</v>
      </c>
      <c r="Q113" t="s">
        <v>66</v>
      </c>
      <c r="S113" t="s">
        <v>67</v>
      </c>
      <c r="V113" t="s">
        <v>68</v>
      </c>
      <c r="X113">
        <f>SUM(X101:X105)</f>
        <v>1.4948904006046861</v>
      </c>
      <c r="Y113">
        <f>(V112-S112)^2</f>
        <v>2.4393182455095261</v>
      </c>
      <c r="AE113" t="s">
        <v>66</v>
      </c>
      <c r="AG113" t="s">
        <v>67</v>
      </c>
      <c r="AJ113" t="s">
        <v>68</v>
      </c>
      <c r="AL113">
        <f>SUM(AL101:AL105)</f>
        <v>1.4742328042328041</v>
      </c>
      <c r="AM113">
        <f>(AJ112-AG112)^2</f>
        <v>2.4263968723657729</v>
      </c>
    </row>
    <row r="117" spans="2:39" x14ac:dyDescent="0.25">
      <c r="B117" t="s">
        <v>21</v>
      </c>
      <c r="C117">
        <v>6690</v>
      </c>
      <c r="F117" t="s">
        <v>8</v>
      </c>
      <c r="G117">
        <v>-12.799999</v>
      </c>
      <c r="O117" t="s">
        <v>21</v>
      </c>
      <c r="P117">
        <v>6690</v>
      </c>
      <c r="S117" t="s">
        <v>8</v>
      </c>
      <c r="T117">
        <v>-12.799999</v>
      </c>
      <c r="AC117" t="s">
        <v>21</v>
      </c>
      <c r="AD117">
        <v>6690</v>
      </c>
      <c r="AG117" t="s">
        <v>8</v>
      </c>
      <c r="AH117">
        <v>-12.799999</v>
      </c>
    </row>
    <row r="118" spans="2:39" x14ac:dyDescent="0.25">
      <c r="B118" t="s">
        <v>69</v>
      </c>
      <c r="C118">
        <v>0.17399999999999999</v>
      </c>
      <c r="F118" s="4" t="s">
        <v>73</v>
      </c>
      <c r="G118">
        <v>0.60000066519457163</v>
      </c>
      <c r="O118" t="s">
        <v>69</v>
      </c>
      <c r="P118">
        <v>0.17399999999999999</v>
      </c>
      <c r="S118" s="4" t="s">
        <v>73</v>
      </c>
      <c r="T118">
        <v>0.60000066519457163</v>
      </c>
      <c r="AC118" t="s">
        <v>69</v>
      </c>
      <c r="AD118">
        <v>0.17399999999999999</v>
      </c>
      <c r="AG118" s="4" t="s">
        <v>73</v>
      </c>
      <c r="AH118">
        <v>0.60000066519457163</v>
      </c>
    </row>
    <row r="119" spans="2:39" x14ac:dyDescent="0.25">
      <c r="F119" t="s">
        <v>70</v>
      </c>
      <c r="G119" s="17">
        <f>1-(K113/L113)</f>
        <v>5.309949302333028E-2</v>
      </c>
      <c r="S119" t="s">
        <v>70</v>
      </c>
      <c r="T119" s="17">
        <f>1-(X113/Y113)</f>
        <v>0.38716877006245953</v>
      </c>
      <c r="AG119" t="s">
        <v>70</v>
      </c>
      <c r="AH119" s="17">
        <f>1-(AL113/AM113)</f>
        <v>0.3924189315347224</v>
      </c>
    </row>
    <row r="121" spans="2:39" x14ac:dyDescent="0.25">
      <c r="B121" s="10" t="s">
        <v>6</v>
      </c>
      <c r="C121" s="10" t="s">
        <v>7</v>
      </c>
      <c r="D121" s="10"/>
      <c r="E121" s="10"/>
      <c r="F121" s="10"/>
      <c r="G121" s="10"/>
      <c r="H121" s="18"/>
      <c r="I121" s="10"/>
      <c r="O121" s="10" t="s">
        <v>6</v>
      </c>
      <c r="P121" s="10" t="s">
        <v>7</v>
      </c>
      <c r="Q121" s="10"/>
      <c r="R121" s="10"/>
      <c r="S121" s="10"/>
      <c r="T121" s="10"/>
      <c r="U121" s="18"/>
      <c r="V121" s="10"/>
      <c r="AC121" s="10" t="s">
        <v>6</v>
      </c>
      <c r="AD121" s="10" t="s">
        <v>7</v>
      </c>
      <c r="AE121" s="10"/>
      <c r="AF121" s="10"/>
      <c r="AG121" s="10"/>
      <c r="AH121" s="10"/>
      <c r="AI121" s="18"/>
      <c r="AJ121" s="10"/>
    </row>
    <row r="122" spans="2:39" x14ac:dyDescent="0.25">
      <c r="B122">
        <f>SLOPE(D101:D106,E101:E106)</f>
        <v>0.30770162279424829</v>
      </c>
      <c r="C122">
        <f>INTERCEPT(D101:D106,E101:E106)</f>
        <v>0.58694379001314245</v>
      </c>
      <c r="H122" s="17"/>
      <c r="O122">
        <f>SLOPE(Q101:Q106,R101:R106)</f>
        <v>0.48628995423948951</v>
      </c>
      <c r="P122">
        <f>INTERCEPT(Q101:Q106,R101:R106)</f>
        <v>0.5231231138720851</v>
      </c>
      <c r="U122" s="17"/>
      <c r="AC122">
        <f>SLOPE(AE101:AE106,AF101:AF106)</f>
        <v>0.50263274525334323</v>
      </c>
      <c r="AD122">
        <f>INTERCEPT(AE101:AE106,AF101:AF106)</f>
        <v>0.52281514277637398</v>
      </c>
      <c r="AI122" s="17"/>
    </row>
    <row r="126" spans="2:39" x14ac:dyDescent="0.25">
      <c r="C126" s="28" t="s">
        <v>83</v>
      </c>
      <c r="D126" s="28"/>
      <c r="E126" s="28"/>
      <c r="F126" s="28"/>
      <c r="H126" s="28" t="s">
        <v>84</v>
      </c>
      <c r="I126" s="28"/>
      <c r="J126" s="28"/>
      <c r="K126" s="28"/>
    </row>
    <row r="127" spans="2:39" x14ac:dyDescent="0.25">
      <c r="D127" s="11" t="s">
        <v>25</v>
      </c>
      <c r="E127" s="1" t="s">
        <v>27</v>
      </c>
      <c r="F127" s="1" t="s">
        <v>29</v>
      </c>
      <c r="I127" s="11" t="s">
        <v>25</v>
      </c>
      <c r="J127" s="1" t="s">
        <v>27</v>
      </c>
      <c r="K127" s="1" t="s">
        <v>29</v>
      </c>
    </row>
    <row r="128" spans="2:39" x14ac:dyDescent="0.25">
      <c r="C128" t="s">
        <v>78</v>
      </c>
      <c r="D128" s="11" t="s">
        <v>26</v>
      </c>
      <c r="E128" s="6" t="s">
        <v>28</v>
      </c>
      <c r="F128" s="6" t="s">
        <v>30</v>
      </c>
      <c r="H128" t="s">
        <v>78</v>
      </c>
      <c r="I128" s="11" t="s">
        <v>26</v>
      </c>
      <c r="J128" s="6" t="s">
        <v>28</v>
      </c>
      <c r="K128" s="6" t="s">
        <v>30</v>
      </c>
    </row>
    <row r="129" spans="3:12" x14ac:dyDescent="0.25">
      <c r="C129">
        <f>A101</f>
        <v>10</v>
      </c>
      <c r="D129" s="2">
        <f>H101</f>
        <v>1.1072056239015819</v>
      </c>
      <c r="E129" s="2">
        <f>U101</f>
        <v>1.1666666666666667</v>
      </c>
      <c r="F129" s="2">
        <f>AI101</f>
        <v>1.1371841155234657</v>
      </c>
      <c r="G129" s="2"/>
      <c r="H129" s="19">
        <f>A101</f>
        <v>10</v>
      </c>
      <c r="I129" s="2">
        <f>D101</f>
        <v>0.90317460317460307</v>
      </c>
      <c r="J129" s="2">
        <f>Q101</f>
        <v>0.8571428571428571</v>
      </c>
      <c r="K129" s="2">
        <f>AE101</f>
        <v>0.87936507936507935</v>
      </c>
      <c r="L129" s="2"/>
    </row>
    <row r="130" spans="3:12" x14ac:dyDescent="0.25">
      <c r="C130">
        <f t="shared" ref="C130:C134" si="80">A102</f>
        <v>20</v>
      </c>
      <c r="D130" s="2">
        <f t="shared" ref="D130:D134" si="81">H102</f>
        <v>2.3161764705882351</v>
      </c>
      <c r="E130" s="2">
        <f t="shared" ref="E130:E134" si="82">U102</f>
        <v>1.6449086161879898</v>
      </c>
      <c r="F130" s="2">
        <f t="shared" ref="F130:F134" si="83">AI102</f>
        <v>1.8421052631578949</v>
      </c>
      <c r="G130" s="2"/>
      <c r="H130" s="19">
        <f t="shared" ref="H130:H134" si="84">A102</f>
        <v>20</v>
      </c>
      <c r="I130" s="2">
        <f t="shared" ref="I130:I134" si="85">D102</f>
        <v>0.43174603174603177</v>
      </c>
      <c r="J130" s="2">
        <f t="shared" ref="J130:J134" si="86">Q102</f>
        <v>0.60793650793650789</v>
      </c>
      <c r="K130" s="2">
        <f t="shared" ref="K130:K134" si="87">AE102</f>
        <v>0.54285714285714282</v>
      </c>
      <c r="L130" s="2"/>
    </row>
    <row r="131" spans="3:12" x14ac:dyDescent="0.25">
      <c r="C131">
        <f t="shared" si="80"/>
        <v>30</v>
      </c>
      <c r="D131" s="2">
        <f t="shared" si="81"/>
        <v>6.0000000000000018</v>
      </c>
      <c r="E131" s="2">
        <f t="shared" si="82"/>
        <v>2.2419928825622777</v>
      </c>
      <c r="F131" s="2">
        <f t="shared" si="83"/>
        <v>2.0792079207920793</v>
      </c>
      <c r="G131" s="2"/>
      <c r="H131" s="19">
        <f t="shared" si="84"/>
        <v>30</v>
      </c>
      <c r="I131" s="2">
        <f t="shared" si="85"/>
        <v>0.16666666666666663</v>
      </c>
      <c r="J131" s="2">
        <f t="shared" si="86"/>
        <v>0.446031746031746</v>
      </c>
      <c r="K131" s="2">
        <f t="shared" si="87"/>
        <v>0.48095238095238091</v>
      </c>
      <c r="L131" s="2"/>
    </row>
    <row r="132" spans="3:12" x14ac:dyDescent="0.25">
      <c r="C132">
        <f t="shared" si="80"/>
        <v>40</v>
      </c>
      <c r="D132" s="2">
        <f t="shared" si="81"/>
        <v>10.677966101694915</v>
      </c>
      <c r="E132" s="2">
        <f t="shared" si="82"/>
        <v>2.94392523364486</v>
      </c>
      <c r="F132" s="2">
        <f t="shared" si="83"/>
        <v>3.1979695431472082</v>
      </c>
      <c r="G132" s="2"/>
      <c r="H132" s="19">
        <f t="shared" si="84"/>
        <v>40</v>
      </c>
      <c r="I132" s="2">
        <f t="shared" si="85"/>
        <v>9.3650793650793651E-2</v>
      </c>
      <c r="J132" s="2">
        <f t="shared" si="86"/>
        <v>0.33968253968253964</v>
      </c>
      <c r="K132" s="2">
        <f t="shared" si="87"/>
        <v>0.3126984126984127</v>
      </c>
      <c r="L132" s="2"/>
    </row>
    <row r="133" spans="3:12" x14ac:dyDescent="0.25">
      <c r="C133">
        <f t="shared" si="80"/>
        <v>50</v>
      </c>
      <c r="D133" s="2">
        <f t="shared" si="81"/>
        <v>11.454545454545453</v>
      </c>
      <c r="E133" s="2">
        <f t="shared" si="82"/>
        <v>3.6206896551724141</v>
      </c>
      <c r="F133" s="2">
        <f t="shared" si="83"/>
        <v>3.6</v>
      </c>
      <c r="G133" s="2"/>
      <c r="H133" s="19">
        <f t="shared" si="84"/>
        <v>50</v>
      </c>
      <c r="I133" s="2">
        <f t="shared" si="85"/>
        <v>8.7301587301587311E-2</v>
      </c>
      <c r="J133" s="2">
        <f t="shared" si="86"/>
        <v>0.27619047619047615</v>
      </c>
      <c r="K133" s="2">
        <f t="shared" si="87"/>
        <v>0.27777777777777779</v>
      </c>
      <c r="L133" s="2"/>
    </row>
    <row r="134" spans="3:12" x14ac:dyDescent="0.25">
      <c r="C134">
        <f t="shared" si="80"/>
        <v>60</v>
      </c>
      <c r="D134" s="2">
        <f t="shared" si="81"/>
        <v>14.318181818181817</v>
      </c>
      <c r="E134" s="2">
        <f t="shared" si="82"/>
        <v>3.8650306748466261</v>
      </c>
      <c r="F134" s="2">
        <f t="shared" si="83"/>
        <v>3.4615384615384621</v>
      </c>
      <c r="G134" s="2"/>
      <c r="H134" s="19">
        <f t="shared" si="84"/>
        <v>60</v>
      </c>
      <c r="I134" s="2">
        <f t="shared" si="85"/>
        <v>6.9841269841269857E-2</v>
      </c>
      <c r="J134" s="2">
        <f t="shared" si="86"/>
        <v>0.2587301587301587</v>
      </c>
      <c r="K134" s="2">
        <f t="shared" si="87"/>
        <v>0.28888888888888881</v>
      </c>
      <c r="L134" s="2"/>
    </row>
    <row r="135" spans="3:12" x14ac:dyDescent="0.25">
      <c r="H135" s="19"/>
    </row>
  </sheetData>
  <mergeCells count="37">
    <mergeCell ref="C126:F126"/>
    <mergeCell ref="H126:K126"/>
    <mergeCell ref="A1:J1"/>
    <mergeCell ref="A14:L14"/>
    <mergeCell ref="N14:Y14"/>
    <mergeCell ref="O15:Y15"/>
    <mergeCell ref="O16:Q16"/>
    <mergeCell ref="B2:D2"/>
    <mergeCell ref="E2:G2"/>
    <mergeCell ref="H2:J2"/>
    <mergeCell ref="AA14:AL14"/>
    <mergeCell ref="AB15:AL15"/>
    <mergeCell ref="AB16:AD16"/>
    <mergeCell ref="A55:L55"/>
    <mergeCell ref="B56:L56"/>
    <mergeCell ref="N55:Y55"/>
    <mergeCell ref="O56:Y56"/>
    <mergeCell ref="AB55:AM55"/>
    <mergeCell ref="AC56:AM56"/>
    <mergeCell ref="B15:L15"/>
    <mergeCell ref="B16:D16"/>
    <mergeCell ref="B43:E43"/>
    <mergeCell ref="G43:J43"/>
    <mergeCell ref="AC57:AE57"/>
    <mergeCell ref="AB95:AM95"/>
    <mergeCell ref="AC96:AM96"/>
    <mergeCell ref="AC97:AE97"/>
    <mergeCell ref="B57:D57"/>
    <mergeCell ref="A95:L95"/>
    <mergeCell ref="B96:L96"/>
    <mergeCell ref="B97:D97"/>
    <mergeCell ref="N95:Y95"/>
    <mergeCell ref="O96:Y96"/>
    <mergeCell ref="O97:Q97"/>
    <mergeCell ref="O57:Q57"/>
    <mergeCell ref="B85:E85"/>
    <mergeCell ref="G85:J8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5"/>
  <sheetViews>
    <sheetView topLeftCell="O106" workbookViewId="0">
      <selection activeCell="F138" sqref="F138"/>
    </sheetView>
  </sheetViews>
  <sheetFormatPr defaultRowHeight="15" x14ac:dyDescent="0.25"/>
  <cols>
    <col min="1" max="1" width="10.7109375" bestFit="1" customWidth="1"/>
    <col min="2" max="2" width="13.140625" bestFit="1" customWidth="1"/>
    <col min="3" max="3" width="12.7109375" bestFit="1" customWidth="1"/>
    <col min="4" max="4" width="13.7109375" bestFit="1" customWidth="1"/>
    <col min="5" max="5" width="13.28515625" bestFit="1" customWidth="1"/>
    <col min="6" max="6" width="12.5703125" bestFit="1" customWidth="1"/>
    <col min="7" max="7" width="12.28515625" bestFit="1" customWidth="1"/>
    <col min="8" max="8" width="13.140625" bestFit="1" customWidth="1"/>
    <col min="9" max="9" width="12.5703125" bestFit="1" customWidth="1"/>
    <col min="10" max="10" width="12.28515625" bestFit="1" customWidth="1"/>
  </cols>
  <sheetData>
    <row r="1" spans="1:38" x14ac:dyDescent="0.25">
      <c r="A1" s="28" t="str">
        <f>'[1]Manganese Graphs'!C34</f>
        <v>Manganese (mg/l)</v>
      </c>
      <c r="B1" s="28"/>
      <c r="C1" s="28"/>
      <c r="D1" s="28"/>
      <c r="E1" s="28"/>
      <c r="F1" s="28"/>
      <c r="G1" s="28"/>
      <c r="H1" s="28"/>
      <c r="I1" s="28"/>
      <c r="J1" s="28"/>
    </row>
    <row r="2" spans="1:38" x14ac:dyDescent="0.25">
      <c r="A2" s="1" t="str">
        <f>'[1]Manganese Graphs'!C35</f>
        <v>Time (min)</v>
      </c>
      <c r="B2" s="28">
        <f>'[1]Manganese Graphs'!D35</f>
        <v>6.5</v>
      </c>
      <c r="C2" s="28"/>
      <c r="D2" s="28"/>
      <c r="E2" s="28">
        <f>'[1]Manganese Graphs'!G35</f>
        <v>7.5</v>
      </c>
      <c r="F2" s="28"/>
      <c r="G2" s="28"/>
      <c r="H2" s="28">
        <f>'[1]Manganese Graphs'!J35</f>
        <v>8.5</v>
      </c>
      <c r="I2" s="28"/>
      <c r="J2" s="28"/>
    </row>
    <row r="3" spans="1:38" x14ac:dyDescent="0.25">
      <c r="A3" s="1"/>
      <c r="B3" s="1" t="str">
        <f>'[1]Manganese Graphs'!D36</f>
        <v>0,174 (l/min)</v>
      </c>
      <c r="C3" s="1" t="str">
        <f>'[1]Manganese Graphs'!E36</f>
        <v>0,262 (l/min)</v>
      </c>
      <c r="D3" s="1" t="str">
        <f>'[1]Manganese Graphs'!F36</f>
        <v>0,523 (l/min)</v>
      </c>
      <c r="E3" s="1" t="str">
        <f>'[1]Manganese Graphs'!G36</f>
        <v>0,174 (l/min)</v>
      </c>
      <c r="F3" s="1" t="str">
        <f>'[1]Manganese Graphs'!H36</f>
        <v>0,262 (l/min)</v>
      </c>
      <c r="G3" s="1" t="str">
        <f>'[1]Manganese Graphs'!I36</f>
        <v>0,523 (l/min)</v>
      </c>
      <c r="H3" s="1" t="str">
        <f>'[1]Manganese Graphs'!J36</f>
        <v>0,174 (l/min)</v>
      </c>
      <c r="I3" s="1" t="str">
        <f>'[1]Manganese Graphs'!K36</f>
        <v>0,262 (l/min)</v>
      </c>
      <c r="J3" s="1" t="str">
        <f>'[1]Manganese Graphs'!L36</f>
        <v>0,523 (l/min)</v>
      </c>
    </row>
    <row r="4" spans="1:38" x14ac:dyDescent="0.25">
      <c r="A4" s="1"/>
      <c r="B4" s="1" t="str">
        <f>'[1]Manganese Graphs'!D37</f>
        <v>1,67 (ml/min)</v>
      </c>
      <c r="C4" s="1" t="str">
        <f>'[1]Manganese Graphs'!E37</f>
        <v>2,52(ml/min)</v>
      </c>
      <c r="D4" s="1" t="str">
        <f>'[1]Manganese Graphs'!F37</f>
        <v>5,0 (ml/min)</v>
      </c>
      <c r="E4" s="1" t="str">
        <f>'[1]Manganese Graphs'!G37</f>
        <v>1,67 (ml/min)</v>
      </c>
      <c r="F4" s="1" t="str">
        <f>'[1]Manganese Graphs'!H37</f>
        <v>2,52(ml/min)</v>
      </c>
      <c r="G4" s="1" t="str">
        <f>'[1]Manganese Graphs'!I37</f>
        <v>5,0 (ml/min)</v>
      </c>
      <c r="H4" s="1" t="str">
        <f>'[1]Manganese Graphs'!J37</f>
        <v>1,67 (ml/min)</v>
      </c>
      <c r="I4" s="1" t="str">
        <f>'[1]Manganese Graphs'!K37</f>
        <v>2,52(ml/min)</v>
      </c>
      <c r="J4" s="1" t="str">
        <f>'[1]Manganese Graphs'!L37</f>
        <v>5,0 (ml/min)</v>
      </c>
    </row>
    <row r="5" spans="1:38" x14ac:dyDescent="0.25">
      <c r="A5">
        <f>'[1]Manganese Graphs'!C38</f>
        <v>10</v>
      </c>
      <c r="B5" s="2">
        <f>'[1]Manganese Graphs'!D38</f>
        <v>0.3</v>
      </c>
      <c r="C5" s="2">
        <f>'[1]Manganese Graphs'!E38</f>
        <v>0.2</v>
      </c>
      <c r="D5" s="2">
        <f>'[1]Manganese Graphs'!F38</f>
        <v>0.5</v>
      </c>
      <c r="E5" s="2">
        <f>'[1]Manganese Graphs'!G38</f>
        <v>0.53</v>
      </c>
      <c r="F5" s="2">
        <f>'[1]Manganese Graphs'!H38</f>
        <v>0.37</v>
      </c>
      <c r="G5" s="2">
        <f>'[1]Manganese Graphs'!I38</f>
        <v>0.5</v>
      </c>
      <c r="H5" s="2">
        <f>'[1]Manganese Graphs'!J38</f>
        <v>0.53333333333333333</v>
      </c>
      <c r="I5" s="2">
        <f>'[1]Manganese Graphs'!K38</f>
        <v>0.53333333333333333</v>
      </c>
      <c r="J5" s="2">
        <f>'[1]Manganese Graphs'!L38</f>
        <v>0.6333333333333333</v>
      </c>
    </row>
    <row r="6" spans="1:38" x14ac:dyDescent="0.25">
      <c r="A6">
        <f>'[1]Manganese Graphs'!C39</f>
        <v>20</v>
      </c>
      <c r="B6" s="2">
        <f>'[1]Manganese Graphs'!D39</f>
        <v>0.4</v>
      </c>
      <c r="C6" s="2">
        <f>'[1]Manganese Graphs'!E39</f>
        <v>0.2</v>
      </c>
      <c r="D6" s="2">
        <f>'[1]Manganese Graphs'!F39</f>
        <v>0.6</v>
      </c>
      <c r="E6" s="2">
        <f>'[1]Manganese Graphs'!G39</f>
        <v>0.5</v>
      </c>
      <c r="F6" s="2">
        <f>'[1]Manganese Graphs'!H39</f>
        <v>0.3</v>
      </c>
      <c r="G6" s="2">
        <f>'[1]Manganese Graphs'!I39</f>
        <v>0.6</v>
      </c>
      <c r="H6" s="2">
        <f>'[1]Manganese Graphs'!J39</f>
        <v>0.56666666666666676</v>
      </c>
      <c r="I6" s="2">
        <f>'[1]Manganese Graphs'!K39</f>
        <v>0.5</v>
      </c>
      <c r="J6" s="2">
        <f>'[1]Manganese Graphs'!L39</f>
        <v>0.5</v>
      </c>
    </row>
    <row r="7" spans="1:38" x14ac:dyDescent="0.25">
      <c r="A7">
        <f>'[1]Manganese Graphs'!C40</f>
        <v>30</v>
      </c>
      <c r="B7" s="2">
        <f>'[1]Manganese Graphs'!D40</f>
        <v>0.63</v>
      </c>
      <c r="C7" s="2">
        <f>'[1]Manganese Graphs'!E40</f>
        <v>0.37</v>
      </c>
      <c r="D7" s="2">
        <f>'[1]Manganese Graphs'!F40</f>
        <v>0.63</v>
      </c>
      <c r="E7" s="2">
        <f>'[1]Manganese Graphs'!G40</f>
        <v>0.5</v>
      </c>
      <c r="F7" s="2">
        <f>'[1]Manganese Graphs'!H40</f>
        <v>0.33</v>
      </c>
      <c r="G7" s="2">
        <f>'[1]Manganese Graphs'!I40</f>
        <v>0.63</v>
      </c>
      <c r="H7" s="2">
        <f>'[1]Manganese Graphs'!J40</f>
        <v>0.46666666666666662</v>
      </c>
      <c r="I7" s="2">
        <f>'[1]Manganese Graphs'!K40</f>
        <v>0.5</v>
      </c>
      <c r="J7" s="2">
        <f>'[1]Manganese Graphs'!L40</f>
        <v>0.56666666666666676</v>
      </c>
    </row>
    <row r="8" spans="1:38" x14ac:dyDescent="0.25">
      <c r="A8">
        <f>'[1]Manganese Graphs'!C41</f>
        <v>40</v>
      </c>
      <c r="B8" s="2">
        <f>'[1]Manganese Graphs'!D41</f>
        <v>0.6</v>
      </c>
      <c r="C8" s="2">
        <f>'[1]Manganese Graphs'!E41</f>
        <v>0.3</v>
      </c>
      <c r="D8" s="2">
        <f>'[1]Manganese Graphs'!F41</f>
        <v>0.6</v>
      </c>
      <c r="E8" s="2">
        <f>'[1]Manganese Graphs'!G41</f>
        <v>0.5</v>
      </c>
      <c r="F8" s="2">
        <f>'[1]Manganese Graphs'!H41</f>
        <v>0.4</v>
      </c>
      <c r="G8" s="2">
        <f>'[1]Manganese Graphs'!I41</f>
        <v>0.6</v>
      </c>
      <c r="H8" s="2">
        <f>'[1]Manganese Graphs'!J41</f>
        <v>0.33333333333333331</v>
      </c>
      <c r="I8" s="2">
        <f>'[1]Manganese Graphs'!K41</f>
        <v>0.5</v>
      </c>
      <c r="J8" s="2">
        <f>'[1]Manganese Graphs'!L41</f>
        <v>0.56666666666666676</v>
      </c>
    </row>
    <row r="9" spans="1:38" x14ac:dyDescent="0.25">
      <c r="A9">
        <f>'[1]Manganese Graphs'!C42</f>
        <v>50</v>
      </c>
      <c r="B9" s="2">
        <f>'[1]Manganese Graphs'!D42</f>
        <v>0.5</v>
      </c>
      <c r="C9" s="2">
        <f>'[1]Manganese Graphs'!E42</f>
        <v>0.3</v>
      </c>
      <c r="D9" s="2">
        <f>'[1]Manganese Graphs'!F42</f>
        <v>0.4</v>
      </c>
      <c r="E9" s="2">
        <f>'[1]Manganese Graphs'!G42</f>
        <v>0.5</v>
      </c>
      <c r="F9" s="2">
        <f>'[1]Manganese Graphs'!H42</f>
        <v>0.4</v>
      </c>
      <c r="G9" s="2">
        <f>'[1]Manganese Graphs'!I42</f>
        <v>0.4</v>
      </c>
      <c r="H9" s="2">
        <f>'[1]Manganese Graphs'!J42</f>
        <v>0.43333333333333335</v>
      </c>
      <c r="I9" s="2">
        <f>'[1]Manganese Graphs'!K42</f>
        <v>0.46666666666666662</v>
      </c>
      <c r="J9" s="2">
        <f>'[1]Manganese Graphs'!L42</f>
        <v>0.6333333333333333</v>
      </c>
    </row>
    <row r="10" spans="1:38" x14ac:dyDescent="0.25">
      <c r="A10">
        <f>'[1]Manganese Graphs'!C43</f>
        <v>60</v>
      </c>
      <c r="B10" s="2">
        <f>'[1]Manganese Graphs'!D43</f>
        <v>0.5</v>
      </c>
      <c r="C10" s="2">
        <f>'[1]Manganese Graphs'!E43</f>
        <v>0.37</v>
      </c>
      <c r="D10" s="2">
        <f>'[1]Manganese Graphs'!F43</f>
        <v>0.5</v>
      </c>
      <c r="E10" s="2">
        <f>'[1]Manganese Graphs'!G43</f>
        <v>0.47</v>
      </c>
      <c r="F10" s="2">
        <f>'[1]Manganese Graphs'!H43</f>
        <v>0.3</v>
      </c>
      <c r="G10" s="2">
        <f>'[1]Manganese Graphs'!I43</f>
        <v>0.5</v>
      </c>
      <c r="H10" s="2">
        <f>'[1]Manganese Graphs'!J43</f>
        <v>0.53333333333333333</v>
      </c>
      <c r="I10" s="2">
        <f>'[1]Manganese Graphs'!K43</f>
        <v>0.53333333333333333</v>
      </c>
      <c r="J10" s="2">
        <f>'[1]Manganese Graphs'!L43</f>
        <v>0.6</v>
      </c>
    </row>
    <row r="14" spans="1:38" x14ac:dyDescent="0.25">
      <c r="A14" s="28" t="s">
        <v>56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 t="s">
        <v>56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AA14" s="28" t="s">
        <v>56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x14ac:dyDescent="0.25">
      <c r="B15" s="28" t="s">
        <v>57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O15" s="28" t="s">
        <v>57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AB15" s="28" t="s">
        <v>57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x14ac:dyDescent="0.25">
      <c r="B16" s="28" t="s">
        <v>58</v>
      </c>
      <c r="C16" s="28"/>
      <c r="D16" s="28"/>
      <c r="E16" s="13" t="s">
        <v>59</v>
      </c>
      <c r="I16" s="1" t="s">
        <v>5</v>
      </c>
      <c r="K16" s="1" t="s">
        <v>59</v>
      </c>
      <c r="O16" s="28" t="s">
        <v>58</v>
      </c>
      <c r="P16" s="28"/>
      <c r="Q16" s="28"/>
      <c r="R16" s="13" t="s">
        <v>59</v>
      </c>
      <c r="V16" s="1" t="s">
        <v>5</v>
      </c>
      <c r="X16" s="1" t="s">
        <v>59</v>
      </c>
      <c r="AB16" s="28" t="s">
        <v>58</v>
      </c>
      <c r="AC16" s="28"/>
      <c r="AD16" s="28"/>
      <c r="AE16" s="13" t="s">
        <v>59</v>
      </c>
      <c r="AI16" s="1" t="s">
        <v>5</v>
      </c>
      <c r="AK16" s="1" t="s">
        <v>59</v>
      </c>
    </row>
    <row r="17" spans="1:38" x14ac:dyDescent="0.25">
      <c r="B17" s="11"/>
      <c r="C17" s="11" t="s">
        <v>25</v>
      </c>
      <c r="D17" s="11"/>
      <c r="E17" s="13"/>
      <c r="I17" s="1"/>
      <c r="K17" s="1"/>
      <c r="O17" s="11"/>
      <c r="P17" s="1" t="s">
        <v>27</v>
      </c>
      <c r="Q17" s="11"/>
      <c r="R17" s="13"/>
      <c r="V17" s="1"/>
      <c r="X17" s="1"/>
      <c r="AB17" s="11"/>
      <c r="AC17" s="1" t="s">
        <v>29</v>
      </c>
      <c r="AD17" s="11"/>
      <c r="AE17" s="13"/>
      <c r="AI17" s="1"/>
      <c r="AK17" s="1"/>
    </row>
    <row r="18" spans="1:38" x14ac:dyDescent="0.25">
      <c r="B18" s="11"/>
      <c r="C18" s="11" t="s">
        <v>26</v>
      </c>
      <c r="D18" s="11"/>
      <c r="E18" s="13"/>
      <c r="H18" t="s">
        <v>77</v>
      </c>
      <c r="I18" s="1"/>
      <c r="K18" s="1"/>
      <c r="O18" s="11"/>
      <c r="P18" s="6" t="s">
        <v>28</v>
      </c>
      <c r="Q18" s="11"/>
      <c r="R18" s="13"/>
      <c r="U18" t="s">
        <v>77</v>
      </c>
      <c r="V18" s="1"/>
      <c r="X18" s="1"/>
      <c r="AB18" s="11"/>
      <c r="AC18" s="6" t="s">
        <v>30</v>
      </c>
      <c r="AD18" s="11"/>
      <c r="AE18" s="13"/>
      <c r="AH18" t="s">
        <v>77</v>
      </c>
      <c r="AI18" s="1"/>
      <c r="AK18" s="1"/>
    </row>
    <row r="19" spans="1:38" ht="18" x14ac:dyDescent="0.35">
      <c r="A19" s="7" t="s">
        <v>0</v>
      </c>
      <c r="B19" t="s">
        <v>1</v>
      </c>
      <c r="C19" t="s">
        <v>2</v>
      </c>
      <c r="D19" s="12" t="s">
        <v>71</v>
      </c>
      <c r="E19" t="s">
        <v>60</v>
      </c>
      <c r="H19" t="s">
        <v>76</v>
      </c>
      <c r="I19" s="12" t="s">
        <v>72</v>
      </c>
      <c r="K19" t="s">
        <v>61</v>
      </c>
      <c r="N19" s="7" t="s">
        <v>0</v>
      </c>
      <c r="O19" t="s">
        <v>1</v>
      </c>
      <c r="P19" t="s">
        <v>2</v>
      </c>
      <c r="Q19" s="12" t="s">
        <v>71</v>
      </c>
      <c r="R19" t="s">
        <v>60</v>
      </c>
      <c r="U19" t="s">
        <v>76</v>
      </c>
      <c r="V19" s="12" t="s">
        <v>72</v>
      </c>
      <c r="X19" t="s">
        <v>61</v>
      </c>
      <c r="AA19" s="7" t="s">
        <v>0</v>
      </c>
      <c r="AB19" t="s">
        <v>1</v>
      </c>
      <c r="AC19" t="s">
        <v>2</v>
      </c>
      <c r="AD19" s="12" t="s">
        <v>71</v>
      </c>
      <c r="AE19" t="s">
        <v>60</v>
      </c>
      <c r="AH19" t="s">
        <v>76</v>
      </c>
      <c r="AI19" s="12" t="s">
        <v>72</v>
      </c>
      <c r="AK19" t="s">
        <v>61</v>
      </c>
    </row>
    <row r="20" spans="1:38" x14ac:dyDescent="0.25">
      <c r="A20">
        <v>10</v>
      </c>
      <c r="B20">
        <v>2.1</v>
      </c>
      <c r="C20" s="3">
        <f>B5</f>
        <v>0.3</v>
      </c>
      <c r="D20">
        <f>C20/B20</f>
        <v>0.14285714285714285</v>
      </c>
      <c r="E20">
        <f t="shared" ref="E20:E25" si="0">LN(C20)</f>
        <v>-1.2039728043259361</v>
      </c>
      <c r="F20">
        <f>(D20-$D$28)^2</f>
        <v>2.0408163265306121E-2</v>
      </c>
      <c r="G20" t="s">
        <v>62</v>
      </c>
      <c r="H20">
        <f>B20/C20</f>
        <v>7.0000000000000009</v>
      </c>
      <c r="I20">
        <f>(1/(1+EXP($G$36*($G$37-A20))))</f>
        <v>5.5679550115332687E-53</v>
      </c>
      <c r="K20">
        <f>(D20-I20)^2</f>
        <v>2.0408163265306121E-2</v>
      </c>
      <c r="N20">
        <v>10</v>
      </c>
      <c r="O20">
        <v>2.1</v>
      </c>
      <c r="P20" s="3">
        <f>C5</f>
        <v>0.2</v>
      </c>
      <c r="Q20">
        <f>P20/O20</f>
        <v>9.5238095238095233E-2</v>
      </c>
      <c r="R20">
        <f t="shared" ref="R20:R25" si="1">LN(P20)</f>
        <v>-1.6094379124341003</v>
      </c>
      <c r="S20">
        <f>(Q20-$D$28)^2</f>
        <v>9.0702947845804974E-3</v>
      </c>
      <c r="T20" t="s">
        <v>62</v>
      </c>
      <c r="U20">
        <f>O20/P20</f>
        <v>10.5</v>
      </c>
      <c r="V20">
        <f>(1/(1+EXP($T$36*($T$37-N20))))</f>
        <v>1.7521062344329999E-39</v>
      </c>
      <c r="X20">
        <f>(Q20-V20)^2</f>
        <v>9.0702947845804974E-3</v>
      </c>
      <c r="AA20">
        <v>10</v>
      </c>
      <c r="AB20">
        <v>2.1</v>
      </c>
      <c r="AC20" s="3">
        <f>D5</f>
        <v>0.5</v>
      </c>
      <c r="AD20">
        <f>AC20/AB20</f>
        <v>0.23809523809523808</v>
      </c>
      <c r="AE20">
        <f t="shared" ref="AE20:AE25" si="2">LN(AC20)</f>
        <v>-0.69314718055994529</v>
      </c>
      <c r="AF20">
        <f>(AD20-$D$28)^2</f>
        <v>5.6689342403628114E-2</v>
      </c>
      <c r="AG20" t="s">
        <v>62</v>
      </c>
      <c r="AH20">
        <f>AC20/AB20</f>
        <v>0.23809523809523808</v>
      </c>
      <c r="AI20">
        <f>(1/(1+EXP($AG$36*($AG$37-AA20))))</f>
        <v>2.2173863549960113E-45</v>
      </c>
      <c r="AK20">
        <f>(AD20-AI20)^2</f>
        <v>5.6689342403628114E-2</v>
      </c>
    </row>
    <row r="21" spans="1:38" x14ac:dyDescent="0.25">
      <c r="A21">
        <v>20</v>
      </c>
      <c r="B21">
        <v>2.1</v>
      </c>
      <c r="C21" s="3">
        <f t="shared" ref="C21:C25" si="3">B6</f>
        <v>0.4</v>
      </c>
      <c r="D21">
        <f t="shared" ref="D21:D25" si="4">C21/B21</f>
        <v>0.19047619047619047</v>
      </c>
      <c r="E21">
        <f t="shared" si="0"/>
        <v>-0.916290731874155</v>
      </c>
      <c r="F21">
        <f t="shared" ref="F21:F25" si="5">(D21-$D$28)^2</f>
        <v>3.6281179138321989E-2</v>
      </c>
      <c r="H21">
        <f t="shared" ref="H21:H25" si="6">B21/C21</f>
        <v>5.25</v>
      </c>
      <c r="I21">
        <f t="shared" ref="I21:I25" si="7">(1/(1+EXP($G$36*($G$37-A21))))</f>
        <v>1.4322089287293792E-108</v>
      </c>
      <c r="K21">
        <f t="shared" ref="K21:K25" si="8">(D21-I21)^2</f>
        <v>3.6281179138321989E-2</v>
      </c>
      <c r="N21">
        <v>20</v>
      </c>
      <c r="O21">
        <v>2.1</v>
      </c>
      <c r="P21" s="3">
        <f t="shared" ref="P21:P25" si="9">C6</f>
        <v>0.2</v>
      </c>
      <c r="Q21">
        <f t="shared" ref="Q21:Q25" si="10">P21/O21</f>
        <v>9.5238095238095233E-2</v>
      </c>
      <c r="R21">
        <f t="shared" si="1"/>
        <v>-1.6094379124341003</v>
      </c>
      <c r="S21">
        <f t="shared" ref="S21:S25" si="11">(Q21-$D$28)^2</f>
        <v>9.0702947845804974E-3</v>
      </c>
      <c r="U21">
        <f t="shared" ref="U21:U25" si="12">O21/P21</f>
        <v>10.5</v>
      </c>
      <c r="V21">
        <f t="shared" ref="V21:V25" si="13">(1/(1+EXP($T$36*($T$37-N21))))</f>
        <v>1.9429789693428108E-79</v>
      </c>
      <c r="X21">
        <f t="shared" ref="X21:X25" si="14">(Q21-V21)^2</f>
        <v>9.0702947845804974E-3</v>
      </c>
      <c r="AA21">
        <v>20</v>
      </c>
      <c r="AB21">
        <v>2.1</v>
      </c>
      <c r="AC21" s="3">
        <f t="shared" ref="AC21:AC25" si="15">D6</f>
        <v>0.6</v>
      </c>
      <c r="AD21">
        <f t="shared" ref="AD21:AD25" si="16">AC21/AB21</f>
        <v>0.2857142857142857</v>
      </c>
      <c r="AE21">
        <f t="shared" si="2"/>
        <v>-0.51082562376599072</v>
      </c>
      <c r="AF21">
        <f t="shared" ref="AF21:AF25" si="17">(AD21-$D$28)^2</f>
        <v>8.1632653061224483E-2</v>
      </c>
      <c r="AH21">
        <f t="shared" ref="AH21:AH25" si="18">AC21/AB21</f>
        <v>0.2857142857142857</v>
      </c>
      <c r="AI21">
        <f t="shared" ref="AI21:AI25" si="19">(1/(1+EXP($AG$36*($AG$37-AA21))))</f>
        <v>2.0446844255616111E-91</v>
      </c>
      <c r="AK21">
        <f t="shared" ref="AK21:AK25" si="20">(AD21-AI21)^2</f>
        <v>8.1632653061224483E-2</v>
      </c>
    </row>
    <row r="22" spans="1:38" x14ac:dyDescent="0.25">
      <c r="A22">
        <v>30</v>
      </c>
      <c r="B22">
        <v>2.1</v>
      </c>
      <c r="C22" s="3">
        <f t="shared" si="3"/>
        <v>0.63</v>
      </c>
      <c r="D22">
        <f t="shared" si="4"/>
        <v>0.3</v>
      </c>
      <c r="E22">
        <f t="shared" si="0"/>
        <v>-0.46203545959655867</v>
      </c>
      <c r="F22">
        <f t="shared" si="5"/>
        <v>0.09</v>
      </c>
      <c r="H22">
        <f t="shared" si="6"/>
        <v>3.3333333333333335</v>
      </c>
      <c r="I22">
        <f t="shared" si="7"/>
        <v>3.6839780696563715E-164</v>
      </c>
      <c r="K22">
        <f t="shared" si="8"/>
        <v>0.09</v>
      </c>
      <c r="N22">
        <v>30</v>
      </c>
      <c r="O22">
        <v>2.1</v>
      </c>
      <c r="P22" s="3">
        <f t="shared" si="9"/>
        <v>0.37</v>
      </c>
      <c r="Q22">
        <f t="shared" si="10"/>
        <v>0.17619047619047618</v>
      </c>
      <c r="R22">
        <f t="shared" si="1"/>
        <v>-0.9942522733438669</v>
      </c>
      <c r="S22">
        <f t="shared" si="11"/>
        <v>3.1043083900226753E-2</v>
      </c>
      <c r="U22">
        <f t="shared" si="12"/>
        <v>5.6756756756756763</v>
      </c>
      <c r="V22">
        <f t="shared" si="13"/>
        <v>2.1546451928071835E-119</v>
      </c>
      <c r="X22">
        <f t="shared" si="14"/>
        <v>3.1043083900226753E-2</v>
      </c>
      <c r="AA22">
        <v>30</v>
      </c>
      <c r="AB22">
        <v>2.1</v>
      </c>
      <c r="AC22" s="3">
        <f t="shared" si="15"/>
        <v>0.63</v>
      </c>
      <c r="AD22">
        <f t="shared" si="16"/>
        <v>0.3</v>
      </c>
      <c r="AE22">
        <f t="shared" si="2"/>
        <v>-0.46203545959655867</v>
      </c>
      <c r="AF22">
        <f t="shared" si="17"/>
        <v>0.09</v>
      </c>
      <c r="AH22">
        <f t="shared" si="18"/>
        <v>0.3</v>
      </c>
      <c r="AI22">
        <f t="shared" si="19"/>
        <v>1.8854334476779699E-137</v>
      </c>
      <c r="AK22">
        <f t="shared" si="20"/>
        <v>0.09</v>
      </c>
    </row>
    <row r="23" spans="1:38" x14ac:dyDescent="0.25">
      <c r="A23">
        <v>40</v>
      </c>
      <c r="B23">
        <v>2.1</v>
      </c>
      <c r="C23" s="3">
        <f t="shared" si="3"/>
        <v>0.6</v>
      </c>
      <c r="D23">
        <f t="shared" si="4"/>
        <v>0.2857142857142857</v>
      </c>
      <c r="E23">
        <f t="shared" si="0"/>
        <v>-0.51082562376599072</v>
      </c>
      <c r="F23">
        <f t="shared" si="5"/>
        <v>8.1632653061224483E-2</v>
      </c>
      <c r="H23">
        <f t="shared" si="6"/>
        <v>3.5000000000000004</v>
      </c>
      <c r="I23">
        <f t="shared" si="7"/>
        <v>9.4760576794825231E-220</v>
      </c>
      <c r="K23">
        <f t="shared" si="8"/>
        <v>8.1632653061224483E-2</v>
      </c>
      <c r="N23">
        <v>40</v>
      </c>
      <c r="O23">
        <v>2.1</v>
      </c>
      <c r="P23" s="3">
        <f t="shared" si="9"/>
        <v>0.3</v>
      </c>
      <c r="Q23">
        <f t="shared" si="10"/>
        <v>0.14285714285714285</v>
      </c>
      <c r="R23">
        <f t="shared" si="1"/>
        <v>-1.2039728043259361</v>
      </c>
      <c r="S23">
        <f t="shared" si="11"/>
        <v>2.0408163265306121E-2</v>
      </c>
      <c r="U23">
        <f t="shared" si="12"/>
        <v>7.0000000000000009</v>
      </c>
      <c r="V23">
        <f t="shared" si="13"/>
        <v>2.3893701270770709E-159</v>
      </c>
      <c r="X23">
        <f t="shared" si="14"/>
        <v>2.0408163265306121E-2</v>
      </c>
      <c r="AA23">
        <v>40</v>
      </c>
      <c r="AB23">
        <v>2.1</v>
      </c>
      <c r="AC23" s="3">
        <f t="shared" si="15"/>
        <v>0.6</v>
      </c>
      <c r="AD23">
        <f t="shared" si="16"/>
        <v>0.2857142857142857</v>
      </c>
      <c r="AE23">
        <f t="shared" si="2"/>
        <v>-0.51082562376599072</v>
      </c>
      <c r="AF23">
        <f t="shared" si="17"/>
        <v>8.1632653061224483E-2</v>
      </c>
      <c r="AH23">
        <f t="shared" si="18"/>
        <v>0.2857142857142857</v>
      </c>
      <c r="AI23">
        <f t="shared" si="19"/>
        <v>1.7385857891720511E-183</v>
      </c>
      <c r="AK23">
        <f t="shared" si="20"/>
        <v>8.1632653061224483E-2</v>
      </c>
    </row>
    <row r="24" spans="1:38" x14ac:dyDescent="0.25">
      <c r="A24">
        <v>50</v>
      </c>
      <c r="B24">
        <v>2.1</v>
      </c>
      <c r="C24" s="3">
        <f t="shared" si="3"/>
        <v>0.5</v>
      </c>
      <c r="D24">
        <f t="shared" si="4"/>
        <v>0.23809523809523808</v>
      </c>
      <c r="E24">
        <f t="shared" si="0"/>
        <v>-0.69314718055994529</v>
      </c>
      <c r="F24">
        <f t="shared" si="5"/>
        <v>5.6689342403628114E-2</v>
      </c>
      <c r="H24">
        <f t="shared" si="6"/>
        <v>4.2</v>
      </c>
      <c r="I24">
        <f t="shared" si="7"/>
        <v>2.4374648124128357E-275</v>
      </c>
      <c r="K24">
        <f t="shared" si="8"/>
        <v>5.6689342403628114E-2</v>
      </c>
      <c r="N24">
        <v>50</v>
      </c>
      <c r="O24">
        <v>2.1</v>
      </c>
      <c r="P24" s="3">
        <f t="shared" si="9"/>
        <v>0.3</v>
      </c>
      <c r="Q24">
        <f t="shared" si="10"/>
        <v>0.14285714285714285</v>
      </c>
      <c r="R24">
        <f t="shared" si="1"/>
        <v>-1.2039728043259361</v>
      </c>
      <c r="S24">
        <f t="shared" si="11"/>
        <v>2.0408163265306121E-2</v>
      </c>
      <c r="U24">
        <f t="shared" si="12"/>
        <v>7.0000000000000009</v>
      </c>
      <c r="V24">
        <f t="shared" si="13"/>
        <v>2.649665765494562E-199</v>
      </c>
      <c r="X24">
        <f t="shared" si="14"/>
        <v>2.0408163265306121E-2</v>
      </c>
      <c r="AA24">
        <v>50</v>
      </c>
      <c r="AB24">
        <v>2.1</v>
      </c>
      <c r="AC24" s="3">
        <f t="shared" si="15"/>
        <v>0.4</v>
      </c>
      <c r="AD24">
        <f t="shared" si="16"/>
        <v>0.19047619047619047</v>
      </c>
      <c r="AE24">
        <f t="shared" si="2"/>
        <v>-0.916290731874155</v>
      </c>
      <c r="AF24">
        <f t="shared" si="17"/>
        <v>3.6281179138321989E-2</v>
      </c>
      <c r="AH24">
        <f t="shared" si="18"/>
        <v>0.19047619047619047</v>
      </c>
      <c r="AI24">
        <f t="shared" si="19"/>
        <v>1.6031754130772705E-229</v>
      </c>
      <c r="AK24">
        <f t="shared" si="20"/>
        <v>3.6281179138321989E-2</v>
      </c>
    </row>
    <row r="25" spans="1:38" x14ac:dyDescent="0.25">
      <c r="A25">
        <v>60</v>
      </c>
      <c r="B25">
        <v>2.1</v>
      </c>
      <c r="C25" s="3">
        <f t="shared" si="3"/>
        <v>0.5</v>
      </c>
      <c r="D25">
        <f t="shared" si="4"/>
        <v>0.23809523809523808</v>
      </c>
      <c r="E25">
        <f t="shared" si="0"/>
        <v>-0.69314718055994529</v>
      </c>
      <c r="F25">
        <f t="shared" si="5"/>
        <v>5.6689342403628114E-2</v>
      </c>
      <c r="H25">
        <f t="shared" si="6"/>
        <v>4.2</v>
      </c>
      <c r="I25" t="e">
        <f t="shared" si="7"/>
        <v>#NUM!</v>
      </c>
      <c r="K25" t="e">
        <f t="shared" si="8"/>
        <v>#NUM!</v>
      </c>
      <c r="N25">
        <v>60</v>
      </c>
      <c r="O25">
        <v>2.1</v>
      </c>
      <c r="P25" s="3">
        <f t="shared" si="9"/>
        <v>0.37</v>
      </c>
      <c r="Q25">
        <f t="shared" si="10"/>
        <v>0.17619047619047618</v>
      </c>
      <c r="R25">
        <f t="shared" si="1"/>
        <v>-0.9942522733438669</v>
      </c>
      <c r="S25">
        <f t="shared" si="11"/>
        <v>3.1043083900226753E-2</v>
      </c>
      <c r="U25">
        <f t="shared" si="12"/>
        <v>5.6756756756756763</v>
      </c>
      <c r="V25">
        <f t="shared" si="13"/>
        <v>2.9383177554924806E-239</v>
      </c>
      <c r="X25">
        <f t="shared" si="14"/>
        <v>3.1043083900226753E-2</v>
      </c>
      <c r="AA25">
        <v>60</v>
      </c>
      <c r="AB25">
        <v>2.1</v>
      </c>
      <c r="AC25" s="3">
        <f t="shared" si="15"/>
        <v>0.5</v>
      </c>
      <c r="AD25">
        <f t="shared" si="16"/>
        <v>0.23809523809523808</v>
      </c>
      <c r="AE25">
        <f t="shared" si="2"/>
        <v>-0.69314718055994529</v>
      </c>
      <c r="AF25">
        <f t="shared" si="17"/>
        <v>5.6689342403628114E-2</v>
      </c>
      <c r="AH25">
        <f t="shared" si="18"/>
        <v>0.23809523809523808</v>
      </c>
      <c r="AI25">
        <f t="shared" si="19"/>
        <v>1.4783115225620187E-275</v>
      </c>
      <c r="AK25">
        <f t="shared" si="20"/>
        <v>5.6689342403628114E-2</v>
      </c>
    </row>
    <row r="26" spans="1:38" x14ac:dyDescent="0.25">
      <c r="C26" s="14"/>
      <c r="P26" s="14"/>
      <c r="AC26" s="14"/>
    </row>
    <row r="27" spans="1:38" x14ac:dyDescent="0.25">
      <c r="C27" s="14"/>
      <c r="P27" s="14"/>
      <c r="AC27" s="14"/>
    </row>
    <row r="28" spans="1:38" x14ac:dyDescent="0.25">
      <c r="C28" s="14"/>
      <c r="P28" s="14"/>
      <c r="AC28" s="14"/>
    </row>
    <row r="29" spans="1:38" x14ac:dyDescent="0.25">
      <c r="C29" s="14"/>
      <c r="P29" s="14"/>
      <c r="AC29" s="14"/>
    </row>
    <row r="30" spans="1:38" x14ac:dyDescent="0.25">
      <c r="C30" s="2"/>
      <c r="P30" s="2"/>
      <c r="AC30" s="2"/>
    </row>
    <row r="31" spans="1:38" x14ac:dyDescent="0.25">
      <c r="C31" s="15" t="s">
        <v>63</v>
      </c>
      <c r="D31" s="16">
        <f>SUM(D20:D29)</f>
        <v>1.3952380952380952</v>
      </c>
      <c r="E31" s="15" t="s">
        <v>63</v>
      </c>
      <c r="F31">
        <f>SUM(F20:F29)</f>
        <v>0.34170068027210881</v>
      </c>
      <c r="H31" s="15" t="s">
        <v>63</v>
      </c>
      <c r="I31" s="16">
        <f>SUM(I20:I24)</f>
        <v>5.5679550115332687E-53</v>
      </c>
      <c r="K31" s="15" t="s">
        <v>64</v>
      </c>
      <c r="L31" s="15" t="s">
        <v>65</v>
      </c>
      <c r="P31" s="15" t="s">
        <v>63</v>
      </c>
      <c r="Q31" s="16">
        <f>SUM(Q20:Q29)</f>
        <v>0.82857142857142851</v>
      </c>
      <c r="R31" s="15" t="s">
        <v>63</v>
      </c>
      <c r="S31">
        <f>SUM(S20:S29)</f>
        <v>0.12104308390022674</v>
      </c>
      <c r="U31" s="15" t="s">
        <v>63</v>
      </c>
      <c r="V31" s="16">
        <f>SUM(V20:V25)</f>
        <v>1.7521062344329999E-39</v>
      </c>
      <c r="X31" s="15" t="s">
        <v>64</v>
      </c>
      <c r="Y31" s="15" t="s">
        <v>65</v>
      </c>
      <c r="AC31" s="15" t="s">
        <v>63</v>
      </c>
      <c r="AD31" s="16">
        <f>SUM(AD20:AD29)</f>
        <v>1.5380952380952382</v>
      </c>
      <c r="AE31" s="15" t="s">
        <v>63</v>
      </c>
      <c r="AF31">
        <f>SUM(AF20:AF29)</f>
        <v>0.40292517006802719</v>
      </c>
      <c r="AH31" s="15" t="s">
        <v>63</v>
      </c>
      <c r="AI31" s="16">
        <f>SUM(AI20:AI25)</f>
        <v>2.2173863549960113E-45</v>
      </c>
      <c r="AK31" s="15" t="s">
        <v>64</v>
      </c>
      <c r="AL31" s="15" t="s">
        <v>65</v>
      </c>
    </row>
    <row r="32" spans="1:38" x14ac:dyDescent="0.25">
      <c r="D32" t="s">
        <v>66</v>
      </c>
      <c r="F32" t="s">
        <v>67</v>
      </c>
      <c r="I32" t="s">
        <v>68</v>
      </c>
      <c r="K32">
        <f>SUM(K20:K24)</f>
        <v>0.28501133786848071</v>
      </c>
      <c r="L32">
        <f>(I31-F31)^2</f>
        <v>0.11675935489842193</v>
      </c>
      <c r="Q32" t="s">
        <v>66</v>
      </c>
      <c r="S32" t="s">
        <v>67</v>
      </c>
      <c r="V32" t="s">
        <v>68</v>
      </c>
      <c r="X32">
        <f>SUM(X20:X25)</f>
        <v>0.12104308390022674</v>
      </c>
      <c r="Y32">
        <f>(V31-S31)^2</f>
        <v>1.4651428160077329E-2</v>
      </c>
      <c r="AD32" t="s">
        <v>66</v>
      </c>
      <c r="AF32" t="s">
        <v>67</v>
      </c>
      <c r="AI32" t="s">
        <v>68</v>
      </c>
      <c r="AK32">
        <f>SUM(AK20:AK25)</f>
        <v>0.40292517006802719</v>
      </c>
      <c r="AL32">
        <f>(AI31-AF31)^2</f>
        <v>0.16234869267434865</v>
      </c>
    </row>
    <row r="36" spans="2:35" x14ac:dyDescent="0.25">
      <c r="B36" t="s">
        <v>21</v>
      </c>
      <c r="C36">
        <v>6690</v>
      </c>
      <c r="F36" t="s">
        <v>8</v>
      </c>
      <c r="G36">
        <v>-12.799999</v>
      </c>
      <c r="O36" t="s">
        <v>21</v>
      </c>
      <c r="P36">
        <v>6690</v>
      </c>
      <c r="S36" t="s">
        <v>8</v>
      </c>
      <c r="T36">
        <v>-9.1999999999999993</v>
      </c>
      <c r="AB36" t="s">
        <v>21</v>
      </c>
      <c r="AC36">
        <v>6690</v>
      </c>
      <c r="AF36" t="s">
        <v>8</v>
      </c>
      <c r="AG36">
        <v>-10.6</v>
      </c>
    </row>
    <row r="37" spans="2:35" x14ac:dyDescent="0.25">
      <c r="B37" t="s">
        <v>69</v>
      </c>
      <c r="C37">
        <v>0.17399999999999999</v>
      </c>
      <c r="F37" s="4" t="s">
        <v>73</v>
      </c>
      <c r="G37">
        <v>0.60000066519457163</v>
      </c>
      <c r="O37" t="s">
        <v>69</v>
      </c>
      <c r="P37">
        <v>0.17399999999999999</v>
      </c>
      <c r="S37" s="4" t="s">
        <v>73</v>
      </c>
      <c r="T37">
        <v>0.3</v>
      </c>
      <c r="AB37" t="s">
        <v>69</v>
      </c>
      <c r="AC37">
        <v>0.17399999999999999</v>
      </c>
      <c r="AF37" s="4" t="s">
        <v>73</v>
      </c>
      <c r="AG37">
        <v>0.3</v>
      </c>
    </row>
    <row r="38" spans="2:35" x14ac:dyDescent="0.25">
      <c r="F38" t="s">
        <v>70</v>
      </c>
      <c r="G38" s="17">
        <f>1-(K32/L32)</f>
        <v>-1.4410150100301111</v>
      </c>
      <c r="S38" t="s">
        <v>70</v>
      </c>
      <c r="T38" s="17">
        <f>1-(X32/Y32)</f>
        <v>-7.2615211689771471</v>
      </c>
      <c r="AF38" t="s">
        <v>70</v>
      </c>
      <c r="AG38" s="17">
        <f>1-(AK32/AL32)</f>
        <v>-1.4818504136417356</v>
      </c>
    </row>
    <row r="40" spans="2:35" x14ac:dyDescent="0.25">
      <c r="B40" s="12" t="s">
        <v>6</v>
      </c>
      <c r="C40" s="12" t="s">
        <v>7</v>
      </c>
      <c r="D40" s="12"/>
      <c r="E40" s="12"/>
      <c r="F40" s="12"/>
      <c r="G40" s="12"/>
      <c r="H40" s="18"/>
      <c r="I40" s="12"/>
      <c r="O40" s="12" t="s">
        <v>6</v>
      </c>
      <c r="P40" s="12" t="s">
        <v>7</v>
      </c>
      <c r="Q40" s="12"/>
      <c r="R40" s="12"/>
      <c r="S40" s="12"/>
      <c r="T40" s="12"/>
      <c r="U40" s="18"/>
      <c r="V40" s="12"/>
      <c r="AB40" s="12" t="s">
        <v>6</v>
      </c>
      <c r="AC40" s="12" t="s">
        <v>7</v>
      </c>
      <c r="AD40" s="12"/>
      <c r="AE40" s="12"/>
      <c r="AF40" s="12"/>
      <c r="AG40" s="12"/>
      <c r="AH40" s="18"/>
      <c r="AI40" s="12"/>
    </row>
    <row r="41" spans="2:35" x14ac:dyDescent="0.25">
      <c r="B41">
        <f>SLOPE(D20:D25,E20:E25)</f>
        <v>0.21165219322477813</v>
      </c>
      <c r="C41">
        <f>INTERCEPT(D20:D25,E20:E25)</f>
        <v>0.39055282447870882</v>
      </c>
      <c r="H41" s="17"/>
      <c r="O41">
        <f>SLOPE(Q20:Q25,R20:R25)</f>
        <v>0.12967681976213691</v>
      </c>
      <c r="P41">
        <f>INTERCEPT(Q20:Q25,R20:R25)</f>
        <v>0.30268378052279243</v>
      </c>
      <c r="U41" s="17"/>
      <c r="AB41">
        <f>SLOPE(AD20:AD25,AE20:AE25)</f>
        <v>0.24220798559207021</v>
      </c>
      <c r="AC41">
        <f>INTERCEPT(AD20:AD25,AE20:AE25)</f>
        <v>0.40919341728449854</v>
      </c>
      <c r="AH41" s="17"/>
    </row>
    <row r="43" spans="2:35" x14ac:dyDescent="0.25">
      <c r="B43" s="28" t="s">
        <v>79</v>
      </c>
      <c r="C43" s="28"/>
      <c r="D43" s="28"/>
      <c r="E43" s="28"/>
      <c r="G43" s="28" t="s">
        <v>80</v>
      </c>
      <c r="H43" s="28"/>
      <c r="I43" s="28"/>
      <c r="J43" s="28"/>
    </row>
    <row r="44" spans="2:35" x14ac:dyDescent="0.25">
      <c r="C44" s="11" t="s">
        <v>25</v>
      </c>
      <c r="D44" s="1" t="s">
        <v>27</v>
      </c>
      <c r="E44" s="1" t="s">
        <v>29</v>
      </c>
      <c r="H44" s="11" t="s">
        <v>25</v>
      </c>
      <c r="I44" s="1" t="s">
        <v>27</v>
      </c>
      <c r="J44" s="1" t="s">
        <v>29</v>
      </c>
    </row>
    <row r="45" spans="2:35" x14ac:dyDescent="0.25">
      <c r="B45" t="s">
        <v>78</v>
      </c>
      <c r="C45" s="11" t="s">
        <v>26</v>
      </c>
      <c r="D45" s="6" t="s">
        <v>28</v>
      </c>
      <c r="E45" s="6" t="s">
        <v>30</v>
      </c>
      <c r="G45" t="s">
        <v>78</v>
      </c>
      <c r="H45" s="11" t="s">
        <v>26</v>
      </c>
      <c r="I45" s="6" t="s">
        <v>28</v>
      </c>
      <c r="J45" s="6" t="s">
        <v>30</v>
      </c>
    </row>
    <row r="46" spans="2:35" x14ac:dyDescent="0.25">
      <c r="B46">
        <f>A20</f>
        <v>10</v>
      </c>
      <c r="C46" s="2">
        <f>H20</f>
        <v>7.0000000000000009</v>
      </c>
      <c r="D46" s="2">
        <f>U20</f>
        <v>10.5</v>
      </c>
      <c r="E46" s="2">
        <f>AH20</f>
        <v>0.23809523809523808</v>
      </c>
      <c r="G46">
        <f>A20</f>
        <v>10</v>
      </c>
      <c r="H46" s="2">
        <f>D20</f>
        <v>0.14285714285714285</v>
      </c>
      <c r="I46" s="2">
        <f>Q20</f>
        <v>9.5238095238095233E-2</v>
      </c>
      <c r="J46" s="2">
        <f>AD20</f>
        <v>0.23809523809523808</v>
      </c>
    </row>
    <row r="47" spans="2:35" x14ac:dyDescent="0.25">
      <c r="B47">
        <f t="shared" ref="B47:B51" si="21">A21</f>
        <v>20</v>
      </c>
      <c r="C47" s="2">
        <f t="shared" ref="C47:C51" si="22">H21</f>
        <v>5.25</v>
      </c>
      <c r="D47" s="2">
        <f t="shared" ref="D47:D51" si="23">U21</f>
        <v>10.5</v>
      </c>
      <c r="E47" s="2">
        <f t="shared" ref="E47:E51" si="24">AH21</f>
        <v>0.2857142857142857</v>
      </c>
      <c r="G47">
        <f t="shared" ref="G47:G51" si="25">A21</f>
        <v>20</v>
      </c>
      <c r="H47" s="2">
        <f t="shared" ref="H47:H51" si="26">D21</f>
        <v>0.19047619047619047</v>
      </c>
      <c r="I47" s="2">
        <f t="shared" ref="I47:I51" si="27">Q21</f>
        <v>9.5238095238095233E-2</v>
      </c>
      <c r="J47" s="2">
        <f t="shared" ref="J47:J51" si="28">AD21</f>
        <v>0.2857142857142857</v>
      </c>
    </row>
    <row r="48" spans="2:35" x14ac:dyDescent="0.25">
      <c r="B48">
        <f t="shared" si="21"/>
        <v>30</v>
      </c>
      <c r="C48" s="2">
        <f t="shared" si="22"/>
        <v>3.3333333333333335</v>
      </c>
      <c r="D48" s="2">
        <f t="shared" si="23"/>
        <v>5.6756756756756763</v>
      </c>
      <c r="E48" s="2">
        <f t="shared" si="24"/>
        <v>0.3</v>
      </c>
      <c r="G48">
        <f t="shared" si="25"/>
        <v>30</v>
      </c>
      <c r="H48" s="2">
        <f t="shared" si="26"/>
        <v>0.3</v>
      </c>
      <c r="I48" s="2">
        <f t="shared" si="27"/>
        <v>0.17619047619047618</v>
      </c>
      <c r="J48" s="2">
        <f t="shared" si="28"/>
        <v>0.3</v>
      </c>
    </row>
    <row r="49" spans="1:39" x14ac:dyDescent="0.25">
      <c r="B49">
        <f t="shared" si="21"/>
        <v>40</v>
      </c>
      <c r="C49" s="2">
        <f t="shared" si="22"/>
        <v>3.5000000000000004</v>
      </c>
      <c r="D49" s="2">
        <f t="shared" si="23"/>
        <v>7.0000000000000009</v>
      </c>
      <c r="E49" s="2">
        <f t="shared" si="24"/>
        <v>0.2857142857142857</v>
      </c>
      <c r="G49">
        <f t="shared" si="25"/>
        <v>40</v>
      </c>
      <c r="H49" s="2">
        <f t="shared" si="26"/>
        <v>0.2857142857142857</v>
      </c>
      <c r="I49" s="2">
        <f t="shared" si="27"/>
        <v>0.14285714285714285</v>
      </c>
      <c r="J49" s="2">
        <f t="shared" si="28"/>
        <v>0.2857142857142857</v>
      </c>
    </row>
    <row r="50" spans="1:39" x14ac:dyDescent="0.25">
      <c r="B50">
        <f t="shared" si="21"/>
        <v>50</v>
      </c>
      <c r="C50" s="2">
        <f t="shared" si="22"/>
        <v>4.2</v>
      </c>
      <c r="D50" s="2">
        <f t="shared" si="23"/>
        <v>7.0000000000000009</v>
      </c>
      <c r="E50" s="2">
        <f t="shared" si="24"/>
        <v>0.19047619047619047</v>
      </c>
      <c r="G50">
        <f t="shared" si="25"/>
        <v>50</v>
      </c>
      <c r="H50" s="2">
        <f t="shared" si="26"/>
        <v>0.23809523809523808</v>
      </c>
      <c r="I50" s="2">
        <f t="shared" si="27"/>
        <v>0.14285714285714285</v>
      </c>
      <c r="J50" s="2">
        <f t="shared" si="28"/>
        <v>0.19047619047619047</v>
      </c>
    </row>
    <row r="51" spans="1:39" x14ac:dyDescent="0.25">
      <c r="B51">
        <f t="shared" si="21"/>
        <v>60</v>
      </c>
      <c r="C51" s="2">
        <f t="shared" si="22"/>
        <v>4.2</v>
      </c>
      <c r="D51" s="2">
        <f t="shared" si="23"/>
        <v>5.6756756756756763</v>
      </c>
      <c r="E51" s="2">
        <f t="shared" si="24"/>
        <v>0.23809523809523808</v>
      </c>
      <c r="G51">
        <f t="shared" si="25"/>
        <v>60</v>
      </c>
      <c r="H51" s="2">
        <f t="shared" si="26"/>
        <v>0.23809523809523808</v>
      </c>
      <c r="I51" s="2">
        <f t="shared" si="27"/>
        <v>0.17619047619047618</v>
      </c>
      <c r="J51" s="2">
        <f t="shared" si="28"/>
        <v>0.23809523809523808</v>
      </c>
    </row>
    <row r="55" spans="1:39" x14ac:dyDescent="0.25">
      <c r="A55" s="28" t="s">
        <v>74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N55" s="28" t="s">
        <v>74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AB55" s="28" t="s">
        <v>74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1:39" x14ac:dyDescent="0.25">
      <c r="B56" s="28" t="s">
        <v>57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O56" s="28" t="s">
        <v>57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AC56" s="28" t="s">
        <v>57</v>
      </c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1:39" x14ac:dyDescent="0.25">
      <c r="B57" s="28" t="s">
        <v>58</v>
      </c>
      <c r="C57" s="28"/>
      <c r="D57" s="28"/>
      <c r="E57" s="13" t="s">
        <v>59</v>
      </c>
      <c r="I57" s="1" t="s">
        <v>5</v>
      </c>
      <c r="K57" s="1" t="s">
        <v>59</v>
      </c>
      <c r="O57" s="28" t="s">
        <v>58</v>
      </c>
      <c r="P57" s="28"/>
      <c r="Q57" s="28"/>
      <c r="R57" s="13" t="s">
        <v>59</v>
      </c>
      <c r="V57" s="1" t="s">
        <v>5</v>
      </c>
      <c r="X57" s="1" t="s">
        <v>59</v>
      </c>
      <c r="AC57" s="28" t="s">
        <v>58</v>
      </c>
      <c r="AD57" s="28"/>
      <c r="AE57" s="28"/>
      <c r="AF57" s="13" t="s">
        <v>59</v>
      </c>
      <c r="AJ57" s="1" t="s">
        <v>5</v>
      </c>
      <c r="AL57" s="1" t="s">
        <v>59</v>
      </c>
    </row>
    <row r="58" spans="1:39" x14ac:dyDescent="0.25">
      <c r="B58" s="11"/>
      <c r="C58" s="11" t="s">
        <v>25</v>
      </c>
      <c r="D58" s="11"/>
      <c r="E58" s="13"/>
      <c r="I58" s="1"/>
      <c r="K58" s="1"/>
      <c r="O58" s="11"/>
      <c r="P58" s="1" t="s">
        <v>27</v>
      </c>
      <c r="Q58" s="11"/>
      <c r="R58" s="13"/>
      <c r="V58" s="1"/>
      <c r="X58" s="1"/>
      <c r="AC58" s="11"/>
      <c r="AD58" s="1" t="s">
        <v>29</v>
      </c>
      <c r="AE58" s="11"/>
      <c r="AF58" s="13"/>
      <c r="AJ58" s="1"/>
      <c r="AL58" s="1"/>
    </row>
    <row r="59" spans="1:39" x14ac:dyDescent="0.25">
      <c r="B59" s="11"/>
      <c r="C59" s="11" t="s">
        <v>26</v>
      </c>
      <c r="D59" s="11"/>
      <c r="E59" s="13"/>
      <c r="H59" t="s">
        <v>77</v>
      </c>
      <c r="I59" s="1"/>
      <c r="K59" s="1"/>
      <c r="O59" s="11"/>
      <c r="P59" s="6" t="s">
        <v>28</v>
      </c>
      <c r="Q59" s="11"/>
      <c r="R59" s="13"/>
      <c r="U59" t="s">
        <v>77</v>
      </c>
      <c r="V59" s="1"/>
      <c r="X59" s="1"/>
      <c r="AC59" s="11"/>
      <c r="AD59" s="6" t="s">
        <v>30</v>
      </c>
      <c r="AE59" s="11"/>
      <c r="AF59" s="13"/>
      <c r="AI59" t="s">
        <v>77</v>
      </c>
      <c r="AJ59" s="1"/>
      <c r="AL59" s="1"/>
    </row>
    <row r="60" spans="1:39" ht="18" x14ac:dyDescent="0.35">
      <c r="A60" s="7" t="s">
        <v>0</v>
      </c>
      <c r="B60" t="s">
        <v>1</v>
      </c>
      <c r="C60" t="s">
        <v>2</v>
      </c>
      <c r="D60" s="12" t="s">
        <v>71</v>
      </c>
      <c r="E60" t="s">
        <v>60</v>
      </c>
      <c r="H60" t="s">
        <v>76</v>
      </c>
      <c r="I60" s="12" t="s">
        <v>72</v>
      </c>
      <c r="K60" t="s">
        <v>61</v>
      </c>
      <c r="N60" s="7" t="s">
        <v>0</v>
      </c>
      <c r="O60" t="s">
        <v>1</v>
      </c>
      <c r="P60" t="s">
        <v>2</v>
      </c>
      <c r="Q60" s="12" t="s">
        <v>71</v>
      </c>
      <c r="R60" t="s">
        <v>60</v>
      </c>
      <c r="U60" t="s">
        <v>76</v>
      </c>
      <c r="V60" s="12" t="s">
        <v>72</v>
      </c>
      <c r="X60" t="s">
        <v>61</v>
      </c>
      <c r="AB60" s="7" t="s">
        <v>0</v>
      </c>
      <c r="AC60" t="s">
        <v>1</v>
      </c>
      <c r="AD60" t="s">
        <v>2</v>
      </c>
      <c r="AE60" s="12" t="s">
        <v>71</v>
      </c>
      <c r="AF60" t="s">
        <v>60</v>
      </c>
      <c r="AI60" t="s">
        <v>76</v>
      </c>
      <c r="AJ60" s="12" t="s">
        <v>72</v>
      </c>
      <c r="AL60" t="s">
        <v>61</v>
      </c>
    </row>
    <row r="61" spans="1:39" x14ac:dyDescent="0.25">
      <c r="A61">
        <v>10</v>
      </c>
      <c r="B61">
        <v>2.1</v>
      </c>
      <c r="C61" s="3">
        <f>E5</f>
        <v>0.53</v>
      </c>
      <c r="D61">
        <f t="shared" ref="D61:D66" si="29">C61/B61</f>
        <v>0.25238095238095237</v>
      </c>
      <c r="E61">
        <f t="shared" ref="E61:E66" si="30">LN(C61)</f>
        <v>-0.6348782724359695</v>
      </c>
      <c r="F61">
        <f>(D61-$D$28)^2</f>
        <v>6.3696145124716552E-2</v>
      </c>
      <c r="G61" t="s">
        <v>62</v>
      </c>
      <c r="H61">
        <f>B61/C61</f>
        <v>3.9622641509433962</v>
      </c>
      <c r="I61">
        <f t="shared" ref="I61:I66" si="31">(1/(1+EXP($G$36*($G$37-A61))))</f>
        <v>5.5679550115332687E-53</v>
      </c>
      <c r="K61">
        <f>(D61-I61)^2</f>
        <v>6.3696145124716552E-2</v>
      </c>
      <c r="N61">
        <v>10</v>
      </c>
      <c r="O61">
        <v>2.1</v>
      </c>
      <c r="P61" s="3">
        <f t="shared" ref="P61:P66" si="32">F5</f>
        <v>0.37</v>
      </c>
      <c r="Q61">
        <f>P61/O61</f>
        <v>0.17619047619047618</v>
      </c>
      <c r="R61">
        <f t="shared" ref="R61:R66" si="33">LN(P61)</f>
        <v>-0.9942522733438669</v>
      </c>
      <c r="S61">
        <f>(Q61-$D$28)^2</f>
        <v>3.1043083900226753E-2</v>
      </c>
      <c r="T61" t="s">
        <v>62</v>
      </c>
      <c r="U61">
        <f>O61/P61</f>
        <v>5.6756756756756763</v>
      </c>
      <c r="V61">
        <f>(1/(1+EXP($G$36*($G$37-N61))))</f>
        <v>5.5679550115332687E-53</v>
      </c>
      <c r="X61">
        <f>(Q61-V61)^2</f>
        <v>3.1043083900226753E-2</v>
      </c>
      <c r="AB61">
        <v>10</v>
      </c>
      <c r="AC61">
        <v>2.1</v>
      </c>
      <c r="AD61" s="3">
        <f t="shared" ref="AD61:AD66" si="34">G5</f>
        <v>0.5</v>
      </c>
      <c r="AE61">
        <f>AD61/AC61</f>
        <v>0.23809523809523808</v>
      </c>
      <c r="AF61">
        <f t="shared" ref="AF61:AF66" si="35">LN(AD61)</f>
        <v>-0.69314718055994529</v>
      </c>
      <c r="AG61">
        <f>(AE61-$D$28)^2</f>
        <v>5.6689342403628114E-2</v>
      </c>
      <c r="AH61" t="s">
        <v>62</v>
      </c>
      <c r="AI61">
        <f>AC61/AD61</f>
        <v>4.2</v>
      </c>
      <c r="AJ61">
        <f>(1/(1+EXP($G$36*($G$37-AB61))))</f>
        <v>5.5679550115332687E-53</v>
      </c>
      <c r="AL61">
        <f>(AE61-AJ61)^2</f>
        <v>5.6689342403628114E-2</v>
      </c>
    </row>
    <row r="62" spans="1:39" x14ac:dyDescent="0.25">
      <c r="A62">
        <v>20</v>
      </c>
      <c r="B62">
        <v>2.1</v>
      </c>
      <c r="C62" s="3">
        <f t="shared" ref="C62:C66" si="36">E6</f>
        <v>0.5</v>
      </c>
      <c r="D62">
        <f t="shared" si="29"/>
        <v>0.23809523809523808</v>
      </c>
      <c r="E62">
        <f t="shared" si="30"/>
        <v>-0.69314718055994529</v>
      </c>
      <c r="F62">
        <f t="shared" ref="F62:F66" si="37">(D62-$D$28)^2</f>
        <v>5.6689342403628114E-2</v>
      </c>
      <c r="H62">
        <f t="shared" ref="H62:H66" si="38">B62/C62</f>
        <v>4.2</v>
      </c>
      <c r="I62">
        <f t="shared" si="31"/>
        <v>1.4322089287293792E-108</v>
      </c>
      <c r="K62">
        <f t="shared" ref="K62:K66" si="39">(D62-I62)^2</f>
        <v>5.6689342403628114E-2</v>
      </c>
      <c r="N62">
        <v>20</v>
      </c>
      <c r="O62">
        <v>2.1</v>
      </c>
      <c r="P62" s="3">
        <f t="shared" si="32"/>
        <v>0.3</v>
      </c>
      <c r="Q62">
        <f t="shared" ref="Q62:Q66" si="40">P62/O62</f>
        <v>0.14285714285714285</v>
      </c>
      <c r="R62">
        <f t="shared" si="33"/>
        <v>-1.2039728043259361</v>
      </c>
      <c r="S62">
        <f t="shared" ref="S62:S66" si="41">(Q62-$D$28)^2</f>
        <v>2.0408163265306121E-2</v>
      </c>
      <c r="U62">
        <f t="shared" ref="U62:U66" si="42">O62/P62</f>
        <v>7.0000000000000009</v>
      </c>
      <c r="V62">
        <f t="shared" ref="V62:V66" si="43">(1/(1+EXP($G$36*($G$37-N62))))</f>
        <v>1.4322089287293792E-108</v>
      </c>
      <c r="X62">
        <f t="shared" ref="X62:X66" si="44">(Q62-V62)^2</f>
        <v>2.0408163265306121E-2</v>
      </c>
      <c r="AB62">
        <v>20</v>
      </c>
      <c r="AC62">
        <v>2.1</v>
      </c>
      <c r="AD62" s="3">
        <f t="shared" si="34"/>
        <v>0.6</v>
      </c>
      <c r="AE62">
        <f t="shared" ref="AE62:AE66" si="45">AD62/AC62</f>
        <v>0.2857142857142857</v>
      </c>
      <c r="AF62">
        <f t="shared" si="35"/>
        <v>-0.51082562376599072</v>
      </c>
      <c r="AG62">
        <f t="shared" ref="AG62:AG66" si="46">(AE62-$D$28)^2</f>
        <v>8.1632653061224483E-2</v>
      </c>
      <c r="AI62">
        <f t="shared" ref="AI62:AI66" si="47">AC62/AD62</f>
        <v>3.5000000000000004</v>
      </c>
      <c r="AJ62">
        <f t="shared" ref="AJ62:AJ66" si="48">(1/(1+EXP($G$36*($G$37-AB62))))</f>
        <v>1.4322089287293792E-108</v>
      </c>
      <c r="AL62">
        <f t="shared" ref="AL62:AL66" si="49">(AE62-AJ62)^2</f>
        <v>8.1632653061224483E-2</v>
      </c>
    </row>
    <row r="63" spans="1:39" x14ac:dyDescent="0.25">
      <c r="A63">
        <v>30</v>
      </c>
      <c r="B63">
        <v>2.1</v>
      </c>
      <c r="C63" s="3">
        <f t="shared" si="36"/>
        <v>0.5</v>
      </c>
      <c r="D63">
        <f t="shared" si="29"/>
        <v>0.23809523809523808</v>
      </c>
      <c r="E63">
        <f t="shared" si="30"/>
        <v>-0.69314718055994529</v>
      </c>
      <c r="F63">
        <f t="shared" si="37"/>
        <v>5.6689342403628114E-2</v>
      </c>
      <c r="H63">
        <f t="shared" si="38"/>
        <v>4.2</v>
      </c>
      <c r="I63">
        <f t="shared" si="31"/>
        <v>3.6839780696563715E-164</v>
      </c>
      <c r="K63">
        <f t="shared" si="39"/>
        <v>5.6689342403628114E-2</v>
      </c>
      <c r="N63">
        <v>30</v>
      </c>
      <c r="O63">
        <v>2.1</v>
      </c>
      <c r="P63" s="3">
        <f t="shared" si="32"/>
        <v>0.33</v>
      </c>
      <c r="Q63">
        <f t="shared" si="40"/>
        <v>0.15714285714285714</v>
      </c>
      <c r="R63">
        <f t="shared" si="33"/>
        <v>-1.1086626245216111</v>
      </c>
      <c r="S63">
        <f t="shared" si="41"/>
        <v>2.4693877551020406E-2</v>
      </c>
      <c r="U63">
        <f t="shared" si="42"/>
        <v>6.3636363636363633</v>
      </c>
      <c r="V63">
        <f t="shared" si="43"/>
        <v>3.6839780696563715E-164</v>
      </c>
      <c r="X63">
        <f t="shared" si="44"/>
        <v>2.4693877551020406E-2</v>
      </c>
      <c r="AB63">
        <v>30</v>
      </c>
      <c r="AC63">
        <v>2.1</v>
      </c>
      <c r="AD63" s="3">
        <f t="shared" si="34"/>
        <v>0.63</v>
      </c>
      <c r="AE63">
        <f t="shared" si="45"/>
        <v>0.3</v>
      </c>
      <c r="AF63">
        <f t="shared" si="35"/>
        <v>-0.46203545959655867</v>
      </c>
      <c r="AG63">
        <f t="shared" si="46"/>
        <v>0.09</v>
      </c>
      <c r="AI63">
        <f t="shared" si="47"/>
        <v>3.3333333333333335</v>
      </c>
      <c r="AJ63">
        <f t="shared" si="48"/>
        <v>3.6839780696563715E-164</v>
      </c>
      <c r="AL63">
        <f t="shared" si="49"/>
        <v>0.09</v>
      </c>
    </row>
    <row r="64" spans="1:39" x14ac:dyDescent="0.25">
      <c r="A64">
        <v>40</v>
      </c>
      <c r="B64">
        <v>2.1</v>
      </c>
      <c r="C64" s="3">
        <f t="shared" si="36"/>
        <v>0.5</v>
      </c>
      <c r="D64">
        <f t="shared" si="29"/>
        <v>0.23809523809523808</v>
      </c>
      <c r="E64">
        <f t="shared" si="30"/>
        <v>-0.69314718055994529</v>
      </c>
      <c r="F64">
        <f t="shared" si="37"/>
        <v>5.6689342403628114E-2</v>
      </c>
      <c r="H64">
        <f t="shared" si="38"/>
        <v>4.2</v>
      </c>
      <c r="I64">
        <f t="shared" si="31"/>
        <v>9.4760576794825231E-220</v>
      </c>
      <c r="K64">
        <f t="shared" si="39"/>
        <v>5.6689342403628114E-2</v>
      </c>
      <c r="N64">
        <v>40</v>
      </c>
      <c r="O64">
        <v>2.1</v>
      </c>
      <c r="P64" s="3">
        <f t="shared" si="32"/>
        <v>0.4</v>
      </c>
      <c r="Q64">
        <f t="shared" si="40"/>
        <v>0.19047619047619047</v>
      </c>
      <c r="R64">
        <f t="shared" si="33"/>
        <v>-0.916290731874155</v>
      </c>
      <c r="S64">
        <f t="shared" si="41"/>
        <v>3.6281179138321989E-2</v>
      </c>
      <c r="U64">
        <f t="shared" si="42"/>
        <v>5.25</v>
      </c>
      <c r="V64">
        <f t="shared" si="43"/>
        <v>9.4760576794825231E-220</v>
      </c>
      <c r="X64">
        <f t="shared" si="44"/>
        <v>3.6281179138321989E-2</v>
      </c>
      <c r="AB64">
        <v>40</v>
      </c>
      <c r="AC64">
        <v>2.1</v>
      </c>
      <c r="AD64" s="3">
        <f t="shared" si="34"/>
        <v>0.6</v>
      </c>
      <c r="AE64">
        <f t="shared" si="45"/>
        <v>0.2857142857142857</v>
      </c>
      <c r="AF64">
        <f t="shared" si="35"/>
        <v>-0.51082562376599072</v>
      </c>
      <c r="AG64">
        <f t="shared" si="46"/>
        <v>8.1632653061224483E-2</v>
      </c>
      <c r="AI64">
        <f t="shared" si="47"/>
        <v>3.5000000000000004</v>
      </c>
      <c r="AJ64">
        <f t="shared" si="48"/>
        <v>9.4760576794825231E-220</v>
      </c>
      <c r="AL64">
        <f t="shared" si="49"/>
        <v>8.1632653061224483E-2</v>
      </c>
    </row>
    <row r="65" spans="1:39" x14ac:dyDescent="0.25">
      <c r="A65">
        <v>50</v>
      </c>
      <c r="B65">
        <v>2.1</v>
      </c>
      <c r="C65" s="3">
        <f t="shared" si="36"/>
        <v>0.5</v>
      </c>
      <c r="D65">
        <f t="shared" si="29"/>
        <v>0.23809523809523808</v>
      </c>
      <c r="E65">
        <f t="shared" si="30"/>
        <v>-0.69314718055994529</v>
      </c>
      <c r="F65">
        <f t="shared" si="37"/>
        <v>5.6689342403628114E-2</v>
      </c>
      <c r="H65">
        <f t="shared" si="38"/>
        <v>4.2</v>
      </c>
      <c r="I65">
        <f t="shared" si="31"/>
        <v>2.4374648124128357E-275</v>
      </c>
      <c r="K65">
        <f t="shared" si="39"/>
        <v>5.6689342403628114E-2</v>
      </c>
      <c r="N65">
        <v>50</v>
      </c>
      <c r="O65">
        <v>2.1</v>
      </c>
      <c r="P65" s="3">
        <f t="shared" si="32"/>
        <v>0.4</v>
      </c>
      <c r="Q65">
        <f t="shared" si="40"/>
        <v>0.19047619047619047</v>
      </c>
      <c r="R65">
        <f t="shared" si="33"/>
        <v>-0.916290731874155</v>
      </c>
      <c r="S65">
        <f t="shared" si="41"/>
        <v>3.6281179138321989E-2</v>
      </c>
      <c r="U65">
        <f t="shared" si="42"/>
        <v>5.25</v>
      </c>
      <c r="V65">
        <f t="shared" si="43"/>
        <v>2.4374648124128357E-275</v>
      </c>
      <c r="X65">
        <f t="shared" si="44"/>
        <v>3.6281179138321989E-2</v>
      </c>
      <c r="AB65">
        <v>50</v>
      </c>
      <c r="AC65">
        <v>2.1</v>
      </c>
      <c r="AD65" s="3">
        <f t="shared" si="34"/>
        <v>0.4</v>
      </c>
      <c r="AE65">
        <f t="shared" si="45"/>
        <v>0.19047619047619047</v>
      </c>
      <c r="AF65">
        <f t="shared" si="35"/>
        <v>-0.916290731874155</v>
      </c>
      <c r="AG65">
        <f t="shared" si="46"/>
        <v>3.6281179138321989E-2</v>
      </c>
      <c r="AI65">
        <f t="shared" si="47"/>
        <v>5.25</v>
      </c>
      <c r="AJ65">
        <f t="shared" si="48"/>
        <v>2.4374648124128357E-275</v>
      </c>
      <c r="AL65">
        <f t="shared" si="49"/>
        <v>3.6281179138321989E-2</v>
      </c>
    </row>
    <row r="66" spans="1:39" x14ac:dyDescent="0.25">
      <c r="A66">
        <v>60</v>
      </c>
      <c r="B66">
        <v>2.1</v>
      </c>
      <c r="C66" s="3">
        <f t="shared" si="36"/>
        <v>0.47</v>
      </c>
      <c r="D66">
        <f t="shared" si="29"/>
        <v>0.22380952380952379</v>
      </c>
      <c r="E66">
        <f t="shared" si="30"/>
        <v>-0.75502258427803282</v>
      </c>
      <c r="F66">
        <f t="shared" si="37"/>
        <v>5.0090702947845796E-2</v>
      </c>
      <c r="H66">
        <f t="shared" si="38"/>
        <v>4.4680851063829792</v>
      </c>
      <c r="I66" t="e">
        <f t="shared" si="31"/>
        <v>#NUM!</v>
      </c>
      <c r="K66" t="e">
        <f t="shared" si="39"/>
        <v>#NUM!</v>
      </c>
      <c r="N66">
        <v>60</v>
      </c>
      <c r="O66">
        <v>2.1</v>
      </c>
      <c r="P66" s="3">
        <f t="shared" si="32"/>
        <v>0.3</v>
      </c>
      <c r="Q66">
        <f t="shared" si="40"/>
        <v>0.14285714285714285</v>
      </c>
      <c r="R66">
        <f t="shared" si="33"/>
        <v>-1.2039728043259361</v>
      </c>
      <c r="S66">
        <f t="shared" si="41"/>
        <v>2.0408163265306121E-2</v>
      </c>
      <c r="U66">
        <f t="shared" si="42"/>
        <v>7.0000000000000009</v>
      </c>
      <c r="V66" t="e">
        <f t="shared" si="43"/>
        <v>#NUM!</v>
      </c>
      <c r="X66" t="e">
        <f t="shared" si="44"/>
        <v>#NUM!</v>
      </c>
      <c r="AB66">
        <v>60</v>
      </c>
      <c r="AC66">
        <v>2.1</v>
      </c>
      <c r="AD66" s="3">
        <f t="shared" si="34"/>
        <v>0.5</v>
      </c>
      <c r="AE66">
        <f t="shared" si="45"/>
        <v>0.23809523809523808</v>
      </c>
      <c r="AF66">
        <f t="shared" si="35"/>
        <v>-0.69314718055994529</v>
      </c>
      <c r="AG66">
        <f t="shared" si="46"/>
        <v>5.6689342403628114E-2</v>
      </c>
      <c r="AI66">
        <f t="shared" si="47"/>
        <v>4.2</v>
      </c>
      <c r="AJ66" t="e">
        <f t="shared" si="48"/>
        <v>#NUM!</v>
      </c>
      <c r="AL66" t="e">
        <f t="shared" si="49"/>
        <v>#NUM!</v>
      </c>
    </row>
    <row r="67" spans="1:39" x14ac:dyDescent="0.25">
      <c r="C67" s="14"/>
      <c r="P67" s="14"/>
      <c r="AD67" s="14"/>
    </row>
    <row r="68" spans="1:39" x14ac:dyDescent="0.25">
      <c r="C68" s="14"/>
      <c r="P68" s="14"/>
      <c r="AD68" s="14"/>
    </row>
    <row r="69" spans="1:39" x14ac:dyDescent="0.25">
      <c r="C69" s="14"/>
      <c r="P69" s="14"/>
      <c r="AD69" s="14"/>
    </row>
    <row r="70" spans="1:39" x14ac:dyDescent="0.25">
      <c r="B70">
        <f t="shared" ref="B70:B75" si="50">B61/C61</f>
        <v>3.9622641509433962</v>
      </c>
      <c r="C70" s="14"/>
      <c r="P70" s="14"/>
      <c r="AD70" s="14"/>
    </row>
    <row r="71" spans="1:39" x14ac:dyDescent="0.25">
      <c r="B71">
        <f t="shared" si="50"/>
        <v>4.2</v>
      </c>
      <c r="C71" s="2"/>
      <c r="P71" s="2"/>
      <c r="AD71" s="2"/>
    </row>
    <row r="72" spans="1:39" x14ac:dyDescent="0.25">
      <c r="B72">
        <f t="shared" si="50"/>
        <v>4.2</v>
      </c>
      <c r="C72" s="15" t="s">
        <v>63</v>
      </c>
      <c r="D72" s="16">
        <f>SUM(D61:D70)</f>
        <v>1.4285714285714284</v>
      </c>
      <c r="E72" s="15" t="s">
        <v>63</v>
      </c>
      <c r="F72">
        <f>SUM(F61:F70)</f>
        <v>0.34054421768707477</v>
      </c>
      <c r="H72" s="15" t="s">
        <v>63</v>
      </c>
      <c r="I72" s="16">
        <f>SUM(I61:I65)</f>
        <v>5.5679550115332687E-53</v>
      </c>
      <c r="K72" s="15" t="s">
        <v>64</v>
      </c>
      <c r="L72" s="15" t="s">
        <v>65</v>
      </c>
      <c r="P72" s="15" t="s">
        <v>63</v>
      </c>
      <c r="Q72" s="16">
        <f>SUM(Q61:Q70)</f>
        <v>1</v>
      </c>
      <c r="R72" s="15" t="s">
        <v>63</v>
      </c>
      <c r="S72">
        <f>SUM(S61:S70)</f>
        <v>0.16911564625850337</v>
      </c>
      <c r="U72" s="15" t="s">
        <v>63</v>
      </c>
      <c r="V72" s="16">
        <f>SUM(V61:V65)</f>
        <v>5.5679550115332687E-53</v>
      </c>
      <c r="X72" s="15" t="s">
        <v>64</v>
      </c>
      <c r="Y72" s="15" t="s">
        <v>65</v>
      </c>
      <c r="AD72" s="15" t="s">
        <v>63</v>
      </c>
      <c r="AE72" s="16">
        <f>SUM(AE61:AE70)</f>
        <v>1.5380952380952382</v>
      </c>
      <c r="AF72" s="15" t="s">
        <v>63</v>
      </c>
      <c r="AG72">
        <f>SUM(AG61:AG70)</f>
        <v>0.40292517006802719</v>
      </c>
      <c r="AI72" s="15" t="s">
        <v>63</v>
      </c>
      <c r="AJ72" s="16">
        <f>SUM(AJ61:AJ65)</f>
        <v>5.5679550115332687E-53</v>
      </c>
      <c r="AL72" s="15" t="s">
        <v>64</v>
      </c>
      <c r="AM72" s="15" t="s">
        <v>65</v>
      </c>
    </row>
    <row r="73" spans="1:39" x14ac:dyDescent="0.25">
      <c r="B73">
        <f t="shared" si="50"/>
        <v>4.2</v>
      </c>
      <c r="D73" t="s">
        <v>66</v>
      </c>
      <c r="F73" t="s">
        <v>67</v>
      </c>
      <c r="I73" t="s">
        <v>68</v>
      </c>
      <c r="K73">
        <f>SUM(K61:K65)</f>
        <v>0.29045351473922898</v>
      </c>
      <c r="L73">
        <f>(I72-F72)^2</f>
        <v>0.11597036420010176</v>
      </c>
      <c r="Q73" t="s">
        <v>66</v>
      </c>
      <c r="S73" t="s">
        <v>67</v>
      </c>
      <c r="V73" t="s">
        <v>68</v>
      </c>
      <c r="X73">
        <f>SUM(X61:X65)</f>
        <v>0.14870748299319725</v>
      </c>
      <c r="Y73">
        <f>(V72-S72)^2</f>
        <v>2.8600101809431244E-2</v>
      </c>
      <c r="AE73" t="s">
        <v>66</v>
      </c>
      <c r="AG73" t="s">
        <v>67</v>
      </c>
      <c r="AJ73" t="s">
        <v>68</v>
      </c>
      <c r="AL73">
        <f>SUM(AL61:AL65)</f>
        <v>0.34623582766439909</v>
      </c>
      <c r="AM73">
        <f>(AJ72-AG72)^2</f>
        <v>0.16234869267434865</v>
      </c>
    </row>
    <row r="74" spans="1:39" x14ac:dyDescent="0.25">
      <c r="B74">
        <f t="shared" si="50"/>
        <v>4.2</v>
      </c>
    </row>
    <row r="75" spans="1:39" x14ac:dyDescent="0.25">
      <c r="B75">
        <f t="shared" si="50"/>
        <v>4.4680851063829792</v>
      </c>
    </row>
    <row r="77" spans="1:39" x14ac:dyDescent="0.25">
      <c r="B77" t="s">
        <v>21</v>
      </c>
      <c r="C77">
        <v>6690</v>
      </c>
      <c r="F77" t="s">
        <v>8</v>
      </c>
      <c r="G77">
        <v>-12.799999</v>
      </c>
      <c r="O77" t="s">
        <v>21</v>
      </c>
      <c r="P77">
        <v>6690</v>
      </c>
      <c r="S77" t="s">
        <v>8</v>
      </c>
      <c r="T77">
        <v>-12.799999</v>
      </c>
      <c r="AC77" t="s">
        <v>21</v>
      </c>
      <c r="AD77">
        <v>6690</v>
      </c>
      <c r="AG77" t="s">
        <v>8</v>
      </c>
      <c r="AH77">
        <v>-12.799999</v>
      </c>
    </row>
    <row r="78" spans="1:39" x14ac:dyDescent="0.25">
      <c r="B78" t="s">
        <v>69</v>
      </c>
      <c r="C78">
        <v>0.17399999999999999</v>
      </c>
      <c r="F78" s="4" t="s">
        <v>73</v>
      </c>
      <c r="G78">
        <v>0.60000066519457163</v>
      </c>
      <c r="O78" t="s">
        <v>69</v>
      </c>
      <c r="P78">
        <v>0.17399999999999999</v>
      </c>
      <c r="S78" s="4" t="s">
        <v>73</v>
      </c>
      <c r="T78">
        <v>0.60000066519457163</v>
      </c>
      <c r="AC78" t="s">
        <v>69</v>
      </c>
      <c r="AD78">
        <v>0.17399999999999999</v>
      </c>
      <c r="AG78" s="4" t="s">
        <v>73</v>
      </c>
      <c r="AH78">
        <v>0.60000066519457163</v>
      </c>
    </row>
    <row r="79" spans="1:39" x14ac:dyDescent="0.25">
      <c r="F79" t="s">
        <v>70</v>
      </c>
      <c r="G79" s="17">
        <f>1-(K73/L73)</f>
        <v>-1.5045494747094543</v>
      </c>
      <c r="S79" t="s">
        <v>70</v>
      </c>
      <c r="T79" s="17">
        <f>1-(X73/Y73)</f>
        <v>-4.1995438332376525</v>
      </c>
      <c r="AG79" t="s">
        <v>70</v>
      </c>
      <c r="AH79" s="17">
        <f>1-(AL73/AM73)</f>
        <v>-1.1326677903030933</v>
      </c>
    </row>
    <row r="81" spans="1:39" x14ac:dyDescent="0.25">
      <c r="B81" s="12" t="s">
        <v>6</v>
      </c>
      <c r="C81" s="12" t="s">
        <v>7</v>
      </c>
      <c r="D81" s="12"/>
      <c r="E81" s="12"/>
      <c r="F81" s="12"/>
      <c r="G81" s="12"/>
      <c r="H81" s="18"/>
      <c r="I81" s="12"/>
      <c r="O81" s="12" t="s">
        <v>6</v>
      </c>
      <c r="P81" s="12" t="s">
        <v>7</v>
      </c>
      <c r="Q81" s="12"/>
      <c r="R81" s="12"/>
      <c r="S81" s="12"/>
      <c r="T81" s="12"/>
      <c r="U81" s="18"/>
      <c r="V81" s="12"/>
      <c r="AC81" s="12" t="s">
        <v>6</v>
      </c>
      <c r="AD81" s="12" t="s">
        <v>7</v>
      </c>
      <c r="AE81" s="12"/>
      <c r="AF81" s="12"/>
      <c r="AG81" s="12"/>
      <c r="AH81" s="12"/>
      <c r="AI81" s="18"/>
      <c r="AJ81" s="12"/>
    </row>
    <row r="82" spans="1:39" x14ac:dyDescent="0.25">
      <c r="B82">
        <f>SLOPE(D61:D66,E61:E66)</f>
        <v>0.23766647765928575</v>
      </c>
      <c r="C82">
        <f>INTERCEPT(D61:D66,E61:E66)</f>
        <v>0.40297594418247623</v>
      </c>
      <c r="H82" s="17"/>
      <c r="O82">
        <f>SLOPE(Q61:Q66,R61:R66)</f>
        <v>0.16541106359441793</v>
      </c>
      <c r="P82">
        <f>INTERCEPT(Q61:Q66,R61:R66)</f>
        <v>0.34154591385851879</v>
      </c>
      <c r="U82" s="17"/>
      <c r="AC82">
        <f>SLOPE(AE61:AE66,AF61:AF66)</f>
        <v>0.24220798559207021</v>
      </c>
      <c r="AD82">
        <f>INTERCEPT(AE61:AE66,AF61:AF66)</f>
        <v>0.40919341728449854</v>
      </c>
      <c r="AI82" s="17"/>
    </row>
    <row r="85" spans="1:39" x14ac:dyDescent="0.25">
      <c r="B85" s="28" t="s">
        <v>81</v>
      </c>
      <c r="C85" s="28"/>
      <c r="D85" s="28"/>
      <c r="E85" s="28"/>
      <c r="G85" s="28" t="s">
        <v>82</v>
      </c>
      <c r="H85" s="28"/>
      <c r="I85" s="28"/>
      <c r="J85" s="28"/>
    </row>
    <row r="86" spans="1:39" x14ac:dyDescent="0.25">
      <c r="C86" s="11" t="s">
        <v>25</v>
      </c>
      <c r="D86" s="1" t="s">
        <v>27</v>
      </c>
      <c r="E86" s="1" t="s">
        <v>29</v>
      </c>
      <c r="H86" s="11" t="s">
        <v>25</v>
      </c>
      <c r="I86" s="1" t="s">
        <v>27</v>
      </c>
      <c r="J86" s="1" t="s">
        <v>29</v>
      </c>
    </row>
    <row r="87" spans="1:39" x14ac:dyDescent="0.25">
      <c r="B87" t="s">
        <v>78</v>
      </c>
      <c r="C87" s="11" t="s">
        <v>26</v>
      </c>
      <c r="D87" s="6" t="s">
        <v>28</v>
      </c>
      <c r="E87" s="6" t="s">
        <v>30</v>
      </c>
      <c r="G87" t="s">
        <v>78</v>
      </c>
      <c r="H87" s="11" t="s">
        <v>26</v>
      </c>
      <c r="I87" s="6" t="s">
        <v>28</v>
      </c>
      <c r="J87" s="6" t="s">
        <v>30</v>
      </c>
    </row>
    <row r="88" spans="1:39" x14ac:dyDescent="0.25">
      <c r="B88">
        <f>A61</f>
        <v>10</v>
      </c>
      <c r="C88" s="2">
        <f>H61</f>
        <v>3.9622641509433962</v>
      </c>
      <c r="D88" s="2">
        <f>U61</f>
        <v>5.6756756756756763</v>
      </c>
      <c r="E88" s="2">
        <f>AI61</f>
        <v>4.2</v>
      </c>
      <c r="G88">
        <f>A61</f>
        <v>10</v>
      </c>
      <c r="H88" s="2">
        <f>D61</f>
        <v>0.25238095238095237</v>
      </c>
      <c r="I88" s="2">
        <f>Q61</f>
        <v>0.17619047619047618</v>
      </c>
      <c r="J88" s="2">
        <f>AE61</f>
        <v>0.23809523809523808</v>
      </c>
    </row>
    <row r="89" spans="1:39" x14ac:dyDescent="0.25">
      <c r="B89">
        <f t="shared" ref="B89:B93" si="51">A62</f>
        <v>20</v>
      </c>
      <c r="C89" s="2">
        <f t="shared" ref="C89:C93" si="52">H62</f>
        <v>4.2</v>
      </c>
      <c r="D89" s="2">
        <f t="shared" ref="D89:D93" si="53">U62</f>
        <v>7.0000000000000009</v>
      </c>
      <c r="E89" s="2">
        <f t="shared" ref="E89:E93" si="54">AI62</f>
        <v>3.5000000000000004</v>
      </c>
      <c r="G89">
        <f t="shared" ref="G89:G93" si="55">A62</f>
        <v>20</v>
      </c>
      <c r="H89" s="2">
        <f t="shared" ref="H89:H93" si="56">D62</f>
        <v>0.23809523809523808</v>
      </c>
      <c r="I89" s="2">
        <f t="shared" ref="I89:I93" si="57">Q62</f>
        <v>0.14285714285714285</v>
      </c>
      <c r="J89" s="2">
        <f t="shared" ref="J89:J93" si="58">AE62</f>
        <v>0.2857142857142857</v>
      </c>
    </row>
    <row r="90" spans="1:39" x14ac:dyDescent="0.25">
      <c r="B90">
        <f t="shared" si="51"/>
        <v>30</v>
      </c>
      <c r="C90" s="2">
        <f t="shared" si="52"/>
        <v>4.2</v>
      </c>
      <c r="D90" s="2">
        <f t="shared" si="53"/>
        <v>6.3636363636363633</v>
      </c>
      <c r="E90" s="2">
        <f t="shared" si="54"/>
        <v>3.3333333333333335</v>
      </c>
      <c r="G90">
        <f t="shared" si="55"/>
        <v>30</v>
      </c>
      <c r="H90" s="2">
        <f t="shared" si="56"/>
        <v>0.23809523809523808</v>
      </c>
      <c r="I90" s="2">
        <f t="shared" si="57"/>
        <v>0.15714285714285714</v>
      </c>
      <c r="J90" s="2">
        <f t="shared" si="58"/>
        <v>0.3</v>
      </c>
    </row>
    <row r="91" spans="1:39" x14ac:dyDescent="0.25">
      <c r="B91">
        <f t="shared" si="51"/>
        <v>40</v>
      </c>
      <c r="C91" s="2">
        <f t="shared" si="52"/>
        <v>4.2</v>
      </c>
      <c r="D91" s="2">
        <f t="shared" si="53"/>
        <v>5.25</v>
      </c>
      <c r="E91" s="2">
        <f t="shared" si="54"/>
        <v>3.5000000000000004</v>
      </c>
      <c r="G91">
        <f t="shared" si="55"/>
        <v>40</v>
      </c>
      <c r="H91" s="2">
        <f t="shared" si="56"/>
        <v>0.23809523809523808</v>
      </c>
      <c r="I91" s="2">
        <f t="shared" si="57"/>
        <v>0.19047619047619047</v>
      </c>
      <c r="J91" s="2">
        <f t="shared" si="58"/>
        <v>0.2857142857142857</v>
      </c>
    </row>
    <row r="92" spans="1:39" x14ac:dyDescent="0.25">
      <c r="B92">
        <f t="shared" si="51"/>
        <v>50</v>
      </c>
      <c r="C92" s="2">
        <f t="shared" si="52"/>
        <v>4.2</v>
      </c>
      <c r="D92" s="2">
        <f t="shared" si="53"/>
        <v>5.25</v>
      </c>
      <c r="E92" s="2">
        <f t="shared" si="54"/>
        <v>5.25</v>
      </c>
      <c r="G92">
        <f t="shared" si="55"/>
        <v>50</v>
      </c>
      <c r="H92" s="2">
        <f t="shared" si="56"/>
        <v>0.23809523809523808</v>
      </c>
      <c r="I92" s="2">
        <f t="shared" si="57"/>
        <v>0.19047619047619047</v>
      </c>
      <c r="J92" s="2">
        <f t="shared" si="58"/>
        <v>0.19047619047619047</v>
      </c>
    </row>
    <row r="93" spans="1:39" x14ac:dyDescent="0.25">
      <c r="B93">
        <f t="shared" si="51"/>
        <v>60</v>
      </c>
      <c r="C93" s="2">
        <f t="shared" si="52"/>
        <v>4.4680851063829792</v>
      </c>
      <c r="D93" s="2">
        <f t="shared" si="53"/>
        <v>7.0000000000000009</v>
      </c>
      <c r="E93" s="2">
        <f t="shared" si="54"/>
        <v>4.2</v>
      </c>
      <c r="G93">
        <f t="shared" si="55"/>
        <v>60</v>
      </c>
      <c r="H93" s="2">
        <f t="shared" si="56"/>
        <v>0.22380952380952379</v>
      </c>
      <c r="I93" s="2">
        <f t="shared" si="57"/>
        <v>0.14285714285714285</v>
      </c>
      <c r="J93" s="2">
        <f t="shared" si="58"/>
        <v>0.23809523809523808</v>
      </c>
    </row>
    <row r="95" spans="1:39" x14ac:dyDescent="0.25">
      <c r="A95" s="28" t="s">
        <v>75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N95" s="28" t="s">
        <v>75</v>
      </c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AB95" s="28" t="s">
        <v>75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</row>
    <row r="96" spans="1:39" x14ac:dyDescent="0.25">
      <c r="B96" s="28" t="s">
        <v>57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O96" s="28" t="s">
        <v>57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AC96" s="28" t="s">
        <v>57</v>
      </c>
      <c r="AD96" s="28"/>
      <c r="AE96" s="28"/>
      <c r="AF96" s="28"/>
      <c r="AG96" s="28"/>
      <c r="AH96" s="28"/>
      <c r="AI96" s="28"/>
      <c r="AJ96" s="28"/>
      <c r="AK96" s="28"/>
      <c r="AL96" s="28"/>
      <c r="AM96" s="28"/>
    </row>
    <row r="97" spans="1:39" x14ac:dyDescent="0.25">
      <c r="B97" s="28" t="s">
        <v>58</v>
      </c>
      <c r="C97" s="28"/>
      <c r="D97" s="28"/>
      <c r="E97" s="13" t="s">
        <v>59</v>
      </c>
      <c r="I97" s="1" t="s">
        <v>5</v>
      </c>
      <c r="K97" s="1" t="s">
        <v>59</v>
      </c>
      <c r="O97" s="28" t="s">
        <v>58</v>
      </c>
      <c r="P97" s="28"/>
      <c r="Q97" s="28"/>
      <c r="R97" s="13" t="s">
        <v>59</v>
      </c>
      <c r="V97" s="1" t="s">
        <v>5</v>
      </c>
      <c r="X97" s="1" t="s">
        <v>59</v>
      </c>
      <c r="AC97" s="28" t="s">
        <v>58</v>
      </c>
      <c r="AD97" s="28"/>
      <c r="AE97" s="28"/>
      <c r="AF97" s="13" t="s">
        <v>59</v>
      </c>
      <c r="AJ97" s="1" t="s">
        <v>5</v>
      </c>
      <c r="AL97" s="1" t="s">
        <v>59</v>
      </c>
    </row>
    <row r="98" spans="1:39" x14ac:dyDescent="0.25">
      <c r="B98" s="11"/>
      <c r="C98" s="11" t="s">
        <v>25</v>
      </c>
      <c r="D98" s="11"/>
      <c r="E98" s="13"/>
      <c r="I98" s="1"/>
      <c r="K98" s="1"/>
      <c r="O98" s="11"/>
      <c r="P98" s="1" t="s">
        <v>27</v>
      </c>
      <c r="Q98" s="11"/>
      <c r="R98" s="13"/>
      <c r="V98" s="1"/>
      <c r="X98" s="1"/>
      <c r="AC98" s="11"/>
      <c r="AD98" s="1" t="s">
        <v>29</v>
      </c>
      <c r="AE98" s="11"/>
      <c r="AF98" s="13"/>
      <c r="AJ98" s="1"/>
      <c r="AL98" s="1"/>
    </row>
    <row r="99" spans="1:39" x14ac:dyDescent="0.25">
      <c r="B99" s="11"/>
      <c r="C99" s="11" t="s">
        <v>26</v>
      </c>
      <c r="D99" s="11"/>
      <c r="E99" s="13"/>
      <c r="H99" t="s">
        <v>77</v>
      </c>
      <c r="I99" s="1"/>
      <c r="K99" s="1"/>
      <c r="O99" s="11"/>
      <c r="P99" s="6" t="s">
        <v>28</v>
      </c>
      <c r="Q99" s="11"/>
      <c r="R99" s="13"/>
      <c r="U99" t="s">
        <v>77</v>
      </c>
      <c r="V99" s="1"/>
      <c r="X99" s="1"/>
      <c r="AC99" s="11"/>
      <c r="AD99" s="6" t="s">
        <v>30</v>
      </c>
      <c r="AE99" s="11"/>
      <c r="AF99" s="13"/>
      <c r="AI99" t="s">
        <v>77</v>
      </c>
      <c r="AJ99" s="1"/>
      <c r="AL99" s="1"/>
    </row>
    <row r="100" spans="1:39" ht="18" x14ac:dyDescent="0.35">
      <c r="A100" s="7" t="s">
        <v>0</v>
      </c>
      <c r="B100" t="s">
        <v>1</v>
      </c>
      <c r="C100" t="s">
        <v>2</v>
      </c>
      <c r="D100" s="12" t="s">
        <v>71</v>
      </c>
      <c r="E100" t="s">
        <v>60</v>
      </c>
      <c r="H100" t="s">
        <v>76</v>
      </c>
      <c r="I100" s="12" t="s">
        <v>72</v>
      </c>
      <c r="K100" t="s">
        <v>61</v>
      </c>
      <c r="N100" s="7" t="s">
        <v>0</v>
      </c>
      <c r="O100" t="s">
        <v>1</v>
      </c>
      <c r="P100" t="s">
        <v>2</v>
      </c>
      <c r="Q100" s="12" t="s">
        <v>71</v>
      </c>
      <c r="R100" t="s">
        <v>60</v>
      </c>
      <c r="U100" t="s">
        <v>76</v>
      </c>
      <c r="V100" s="12" t="s">
        <v>72</v>
      </c>
      <c r="X100" t="s">
        <v>61</v>
      </c>
      <c r="AB100" s="7" t="s">
        <v>0</v>
      </c>
      <c r="AC100" t="s">
        <v>1</v>
      </c>
      <c r="AD100" t="s">
        <v>2</v>
      </c>
      <c r="AE100" s="12" t="s">
        <v>71</v>
      </c>
      <c r="AF100" t="s">
        <v>60</v>
      </c>
      <c r="AI100" t="s">
        <v>76</v>
      </c>
      <c r="AJ100" s="12" t="s">
        <v>72</v>
      </c>
      <c r="AL100" t="s">
        <v>61</v>
      </c>
    </row>
    <row r="101" spans="1:39" x14ac:dyDescent="0.25">
      <c r="A101">
        <v>10</v>
      </c>
      <c r="B101">
        <v>2.1</v>
      </c>
      <c r="C101" s="3">
        <f>H5</f>
        <v>0.53333333333333333</v>
      </c>
      <c r="D101">
        <f>C101/B101</f>
        <v>0.25396825396825395</v>
      </c>
      <c r="E101">
        <f t="shared" ref="E101:E106" si="59">LN(C101)</f>
        <v>-0.62860865942237421</v>
      </c>
      <c r="F101">
        <f>(D101-$D$28)^2</f>
        <v>6.449987402368354E-2</v>
      </c>
      <c r="G101" t="s">
        <v>62</v>
      </c>
      <c r="H101" s="2">
        <f>B101/C101</f>
        <v>3.9375</v>
      </c>
      <c r="I101">
        <f>(1/(1+EXP($G$36*($G$37-A101))))</f>
        <v>5.5679550115332687E-53</v>
      </c>
      <c r="K101">
        <f>(D101-I101)^2</f>
        <v>6.449987402368354E-2</v>
      </c>
      <c r="N101">
        <v>10</v>
      </c>
      <c r="O101">
        <v>2.1</v>
      </c>
      <c r="P101" s="3">
        <f>I5</f>
        <v>0.53333333333333333</v>
      </c>
      <c r="Q101">
        <f>P101/O101</f>
        <v>0.25396825396825395</v>
      </c>
      <c r="R101">
        <f t="shared" ref="R101:R106" si="60">LN(P101)</f>
        <v>-0.62860865942237421</v>
      </c>
      <c r="S101">
        <f>(Q101-$D$28)^2</f>
        <v>6.449987402368354E-2</v>
      </c>
      <c r="T101" t="s">
        <v>62</v>
      </c>
      <c r="U101" s="17">
        <f>O101/P101</f>
        <v>3.9375</v>
      </c>
      <c r="V101">
        <f>(1/(1+EXP($G$36*($G$37-N101))))</f>
        <v>5.5679550115332687E-53</v>
      </c>
      <c r="X101">
        <f>(Q101-V101)^2</f>
        <v>6.449987402368354E-2</v>
      </c>
      <c r="AB101">
        <v>10</v>
      </c>
      <c r="AC101">
        <v>2.1</v>
      </c>
      <c r="AD101" s="3">
        <f>J5</f>
        <v>0.6333333333333333</v>
      </c>
      <c r="AE101">
        <f>AD101/AC101</f>
        <v>0.30158730158730157</v>
      </c>
      <c r="AF101">
        <f t="shared" ref="AF101:AF106" si="61">LN(AD101)</f>
        <v>-0.45675840249571498</v>
      </c>
      <c r="AG101">
        <f>(AE101-$D$28)^2</f>
        <v>9.0954900478709994E-2</v>
      </c>
      <c r="AH101" t="s">
        <v>62</v>
      </c>
      <c r="AI101">
        <f>AC101/AD101</f>
        <v>3.3157894736842106</v>
      </c>
      <c r="AJ101">
        <f>(1/(1+EXP($G$36*($G$37-AB101))))</f>
        <v>5.5679550115332687E-53</v>
      </c>
      <c r="AL101">
        <f>(AE101-AJ101)^2</f>
        <v>9.0954900478709994E-2</v>
      </c>
    </row>
    <row r="102" spans="1:39" x14ac:dyDescent="0.25">
      <c r="A102">
        <v>20</v>
      </c>
      <c r="B102">
        <v>2.1</v>
      </c>
      <c r="C102" s="3">
        <f t="shared" ref="C102:C106" si="62">H6</f>
        <v>0.56666666666666676</v>
      </c>
      <c r="D102">
        <f t="shared" ref="D102:D106" si="63">C102/B102</f>
        <v>0.26984126984126988</v>
      </c>
      <c r="E102">
        <f t="shared" si="59"/>
        <v>-0.56798403760593907</v>
      </c>
      <c r="F102">
        <f t="shared" ref="F102:F106" si="64">(D102-$D$28)^2</f>
        <v>7.2814310909549027E-2</v>
      </c>
      <c r="H102" s="2">
        <f t="shared" ref="H102:H106" si="65">B102/C102</f>
        <v>3.7058823529411762</v>
      </c>
      <c r="I102">
        <f t="shared" ref="I102:I104" si="66">(1/(1+EXP($G$36*($G$37-A102))))</f>
        <v>1.4322089287293792E-108</v>
      </c>
      <c r="K102">
        <f t="shared" ref="K102:K105" si="67">(D102-I102)^2</f>
        <v>7.2814310909549027E-2</v>
      </c>
      <c r="N102">
        <v>20</v>
      </c>
      <c r="O102">
        <v>2.1</v>
      </c>
      <c r="P102" s="3">
        <f t="shared" ref="P102:P106" si="68">I6</f>
        <v>0.5</v>
      </c>
      <c r="Q102">
        <f t="shared" ref="Q102:Q106" si="69">P102/O102</f>
        <v>0.23809523809523808</v>
      </c>
      <c r="R102">
        <f t="shared" si="60"/>
        <v>-0.69314718055994529</v>
      </c>
      <c r="S102">
        <f t="shared" ref="S102:S106" si="70">(Q102-$D$28)^2</f>
        <v>5.6689342403628114E-2</v>
      </c>
      <c r="U102" s="17">
        <f t="shared" ref="U102:U106" si="71">O102/P102</f>
        <v>4.2</v>
      </c>
      <c r="V102">
        <f t="shared" ref="V102:V106" si="72">(1/(1+EXP($G$36*($G$37-N102))))</f>
        <v>1.4322089287293792E-108</v>
      </c>
      <c r="X102">
        <f t="shared" ref="X102:X106" si="73">(Q102-V102)^2</f>
        <v>5.6689342403628114E-2</v>
      </c>
      <c r="AB102">
        <v>20</v>
      </c>
      <c r="AC102">
        <v>2.1</v>
      </c>
      <c r="AD102" s="3">
        <f t="shared" ref="AD102:AD106" si="74">J6</f>
        <v>0.5</v>
      </c>
      <c r="AE102">
        <f t="shared" ref="AE102:AE106" si="75">AD102/AC102</f>
        <v>0.23809523809523808</v>
      </c>
      <c r="AF102">
        <f t="shared" si="61"/>
        <v>-0.69314718055994529</v>
      </c>
      <c r="AG102">
        <f t="shared" ref="AG102:AG106" si="76">(AE102-$D$28)^2</f>
        <v>5.6689342403628114E-2</v>
      </c>
      <c r="AI102">
        <f t="shared" ref="AI102:AI106" si="77">AC102/AD102</f>
        <v>4.2</v>
      </c>
      <c r="AJ102">
        <f t="shared" ref="AJ102:AJ106" si="78">(1/(1+EXP($G$36*($G$37-AB102))))</f>
        <v>1.4322089287293792E-108</v>
      </c>
      <c r="AL102">
        <f t="shared" ref="AL102:AL106" si="79">(AE102-AJ102)^2</f>
        <v>5.6689342403628114E-2</v>
      </c>
    </row>
    <row r="103" spans="1:39" x14ac:dyDescent="0.25">
      <c r="A103">
        <v>30</v>
      </c>
      <c r="B103">
        <v>2.1</v>
      </c>
      <c r="C103" s="3">
        <f t="shared" si="62"/>
        <v>0.46666666666666662</v>
      </c>
      <c r="D103">
        <f t="shared" si="63"/>
        <v>0.22222222222222218</v>
      </c>
      <c r="E103">
        <f t="shared" si="59"/>
        <v>-0.76214005204689683</v>
      </c>
      <c r="F103">
        <f t="shared" si="64"/>
        <v>4.9382716049382699E-2</v>
      </c>
      <c r="H103" s="2">
        <f t="shared" si="65"/>
        <v>4.5000000000000009</v>
      </c>
      <c r="I103">
        <f t="shared" si="66"/>
        <v>3.6839780696563715E-164</v>
      </c>
      <c r="K103">
        <f t="shared" si="67"/>
        <v>4.9382716049382699E-2</v>
      </c>
      <c r="N103">
        <v>30</v>
      </c>
      <c r="O103">
        <v>2.1</v>
      </c>
      <c r="P103" s="3">
        <f t="shared" si="68"/>
        <v>0.5</v>
      </c>
      <c r="Q103">
        <f t="shared" si="69"/>
        <v>0.23809523809523808</v>
      </c>
      <c r="R103">
        <f t="shared" si="60"/>
        <v>-0.69314718055994529</v>
      </c>
      <c r="S103">
        <f t="shared" si="70"/>
        <v>5.6689342403628114E-2</v>
      </c>
      <c r="U103" s="17">
        <f t="shared" si="71"/>
        <v>4.2</v>
      </c>
      <c r="V103">
        <f t="shared" si="72"/>
        <v>3.6839780696563715E-164</v>
      </c>
      <c r="X103">
        <f t="shared" si="73"/>
        <v>5.6689342403628114E-2</v>
      </c>
      <c r="AB103">
        <v>30</v>
      </c>
      <c r="AC103">
        <v>2.1</v>
      </c>
      <c r="AD103" s="3">
        <f t="shared" si="74"/>
        <v>0.56666666666666676</v>
      </c>
      <c r="AE103">
        <f t="shared" si="75"/>
        <v>0.26984126984126988</v>
      </c>
      <c r="AF103">
        <f t="shared" si="61"/>
        <v>-0.56798403760593907</v>
      </c>
      <c r="AG103">
        <f t="shared" si="76"/>
        <v>7.2814310909549027E-2</v>
      </c>
      <c r="AI103">
        <f t="shared" si="77"/>
        <v>3.7058823529411762</v>
      </c>
      <c r="AJ103">
        <f t="shared" si="78"/>
        <v>3.6839780696563715E-164</v>
      </c>
      <c r="AL103">
        <f t="shared" si="79"/>
        <v>7.2814310909549027E-2</v>
      </c>
    </row>
    <row r="104" spans="1:39" x14ac:dyDescent="0.25">
      <c r="A104">
        <v>40</v>
      </c>
      <c r="B104">
        <v>2.1</v>
      </c>
      <c r="C104" s="3">
        <f t="shared" si="62"/>
        <v>0.33333333333333331</v>
      </c>
      <c r="D104">
        <f t="shared" si="63"/>
        <v>0.15873015873015872</v>
      </c>
      <c r="E104">
        <f t="shared" si="59"/>
        <v>-1.0986122886681098</v>
      </c>
      <c r="F104">
        <f t="shared" si="64"/>
        <v>2.5195263290501382E-2</v>
      </c>
      <c r="H104" s="2">
        <f t="shared" si="65"/>
        <v>6.3000000000000007</v>
      </c>
      <c r="I104">
        <f t="shared" si="66"/>
        <v>9.4760576794825231E-220</v>
      </c>
      <c r="K104">
        <f t="shared" si="67"/>
        <v>2.5195263290501382E-2</v>
      </c>
      <c r="N104">
        <v>40</v>
      </c>
      <c r="O104">
        <v>2.1</v>
      </c>
      <c r="P104" s="3">
        <f t="shared" si="68"/>
        <v>0.5</v>
      </c>
      <c r="Q104">
        <f t="shared" si="69"/>
        <v>0.23809523809523808</v>
      </c>
      <c r="R104">
        <f t="shared" si="60"/>
        <v>-0.69314718055994529</v>
      </c>
      <c r="S104">
        <f t="shared" si="70"/>
        <v>5.6689342403628114E-2</v>
      </c>
      <c r="U104" s="17">
        <f t="shared" si="71"/>
        <v>4.2</v>
      </c>
      <c r="V104">
        <f t="shared" si="72"/>
        <v>9.4760576794825231E-220</v>
      </c>
      <c r="X104">
        <f t="shared" si="73"/>
        <v>5.6689342403628114E-2</v>
      </c>
      <c r="AB104">
        <v>40</v>
      </c>
      <c r="AC104">
        <v>2.1</v>
      </c>
      <c r="AD104" s="3">
        <f t="shared" si="74"/>
        <v>0.56666666666666676</v>
      </c>
      <c r="AE104">
        <f t="shared" si="75"/>
        <v>0.26984126984126988</v>
      </c>
      <c r="AF104">
        <f t="shared" si="61"/>
        <v>-0.56798403760593907</v>
      </c>
      <c r="AG104">
        <f t="shared" si="76"/>
        <v>7.2814310909549027E-2</v>
      </c>
      <c r="AI104">
        <f t="shared" si="77"/>
        <v>3.7058823529411762</v>
      </c>
      <c r="AJ104">
        <f t="shared" si="78"/>
        <v>9.4760576794825231E-220</v>
      </c>
      <c r="AL104">
        <f t="shared" si="79"/>
        <v>7.2814310909549027E-2</v>
      </c>
    </row>
    <row r="105" spans="1:39" x14ac:dyDescent="0.25">
      <c r="A105">
        <v>50</v>
      </c>
      <c r="B105">
        <v>2.1</v>
      </c>
      <c r="C105" s="3">
        <f t="shared" si="62"/>
        <v>0.43333333333333335</v>
      </c>
      <c r="D105">
        <f t="shared" si="63"/>
        <v>0.20634920634920634</v>
      </c>
      <c r="E105">
        <f t="shared" si="59"/>
        <v>-0.83624802420061861</v>
      </c>
      <c r="F105">
        <f t="shared" si="64"/>
        <v>4.2579994960947339E-2</v>
      </c>
      <c r="H105" s="2">
        <f t="shared" si="65"/>
        <v>4.8461538461538458</v>
      </c>
      <c r="I105">
        <f>(1/(1+EXP($G$36*($G$37-A105))))</f>
        <v>2.4374648124128357E-275</v>
      </c>
      <c r="K105">
        <f t="shared" si="67"/>
        <v>4.2579994960947339E-2</v>
      </c>
      <c r="N105">
        <v>50</v>
      </c>
      <c r="O105">
        <v>2.1</v>
      </c>
      <c r="P105" s="3">
        <f t="shared" si="68"/>
        <v>0.46666666666666662</v>
      </c>
      <c r="Q105">
        <f t="shared" si="69"/>
        <v>0.22222222222222218</v>
      </c>
      <c r="R105">
        <f t="shared" si="60"/>
        <v>-0.76214005204689683</v>
      </c>
      <c r="S105">
        <f t="shared" si="70"/>
        <v>4.9382716049382699E-2</v>
      </c>
      <c r="U105" s="17">
        <f t="shared" si="71"/>
        <v>4.5000000000000009</v>
      </c>
      <c r="V105">
        <f t="shared" si="72"/>
        <v>2.4374648124128357E-275</v>
      </c>
      <c r="X105">
        <f t="shared" si="73"/>
        <v>4.9382716049382699E-2</v>
      </c>
      <c r="AB105">
        <v>50</v>
      </c>
      <c r="AC105">
        <v>2.1</v>
      </c>
      <c r="AD105" s="3">
        <f t="shared" si="74"/>
        <v>0.6333333333333333</v>
      </c>
      <c r="AE105">
        <f t="shared" si="75"/>
        <v>0.30158730158730157</v>
      </c>
      <c r="AF105">
        <f t="shared" si="61"/>
        <v>-0.45675840249571498</v>
      </c>
      <c r="AG105">
        <f t="shared" si="76"/>
        <v>9.0954900478709994E-2</v>
      </c>
      <c r="AI105">
        <f t="shared" si="77"/>
        <v>3.3157894736842106</v>
      </c>
      <c r="AJ105">
        <f t="shared" si="78"/>
        <v>2.4374648124128357E-275</v>
      </c>
      <c r="AL105">
        <f t="shared" si="79"/>
        <v>9.0954900478709994E-2</v>
      </c>
    </row>
    <row r="106" spans="1:39" x14ac:dyDescent="0.25">
      <c r="A106">
        <v>60</v>
      </c>
      <c r="B106">
        <v>2.1</v>
      </c>
      <c r="C106" s="3">
        <f t="shared" si="62"/>
        <v>0.53333333333333333</v>
      </c>
      <c r="D106">
        <f t="shared" si="63"/>
        <v>0.25396825396825395</v>
      </c>
      <c r="E106">
        <f t="shared" si="59"/>
        <v>-0.62860865942237421</v>
      </c>
      <c r="F106">
        <f t="shared" si="64"/>
        <v>6.449987402368354E-2</v>
      </c>
      <c r="H106" s="2">
        <f t="shared" si="65"/>
        <v>3.9375</v>
      </c>
      <c r="I106" t="e">
        <f>(1/(1+EXP($G$36*($G$37-A106))))</f>
        <v>#NUM!</v>
      </c>
      <c r="K106" t="e">
        <f>(D106-I106)^2</f>
        <v>#NUM!</v>
      </c>
      <c r="N106">
        <v>60</v>
      </c>
      <c r="O106">
        <v>2.1</v>
      </c>
      <c r="P106" s="3">
        <f t="shared" si="68"/>
        <v>0.53333333333333333</v>
      </c>
      <c r="Q106">
        <f t="shared" si="69"/>
        <v>0.25396825396825395</v>
      </c>
      <c r="R106">
        <f t="shared" si="60"/>
        <v>-0.62860865942237421</v>
      </c>
      <c r="S106">
        <f t="shared" si="70"/>
        <v>6.449987402368354E-2</v>
      </c>
      <c r="U106" s="17">
        <f t="shared" si="71"/>
        <v>3.9375</v>
      </c>
      <c r="V106" t="e">
        <f t="shared" si="72"/>
        <v>#NUM!</v>
      </c>
      <c r="X106" t="e">
        <f t="shared" si="73"/>
        <v>#NUM!</v>
      </c>
      <c r="AB106">
        <v>60</v>
      </c>
      <c r="AC106">
        <v>2.1</v>
      </c>
      <c r="AD106" s="3">
        <f t="shared" si="74"/>
        <v>0.6</v>
      </c>
      <c r="AE106">
        <f t="shared" si="75"/>
        <v>0.2857142857142857</v>
      </c>
      <c r="AF106">
        <f t="shared" si="61"/>
        <v>-0.51082562376599072</v>
      </c>
      <c r="AG106">
        <f t="shared" si="76"/>
        <v>8.1632653061224483E-2</v>
      </c>
      <c r="AI106">
        <f t="shared" si="77"/>
        <v>3.5000000000000004</v>
      </c>
      <c r="AJ106" t="e">
        <f t="shared" si="78"/>
        <v>#NUM!</v>
      </c>
      <c r="AL106" t="e">
        <f t="shared" si="79"/>
        <v>#NUM!</v>
      </c>
    </row>
    <row r="107" spans="1:39" x14ac:dyDescent="0.25">
      <c r="C107" s="14"/>
      <c r="P107" s="14"/>
      <c r="AD107" s="14"/>
    </row>
    <row r="108" spans="1:39" x14ac:dyDescent="0.25">
      <c r="C108" s="14"/>
      <c r="P108" s="14"/>
      <c r="AD108" s="14"/>
    </row>
    <row r="109" spans="1:39" x14ac:dyDescent="0.25">
      <c r="C109" s="14"/>
      <c r="P109" s="14"/>
      <c r="AD109" s="14"/>
    </row>
    <row r="110" spans="1:39" x14ac:dyDescent="0.25">
      <c r="C110" s="14"/>
      <c r="P110" s="14"/>
      <c r="AD110" s="14"/>
    </row>
    <row r="111" spans="1:39" x14ac:dyDescent="0.25">
      <c r="C111" s="2"/>
      <c r="P111" s="2"/>
      <c r="AD111" s="2"/>
    </row>
    <row r="112" spans="1:39" x14ac:dyDescent="0.25">
      <c r="C112" s="15" t="s">
        <v>63</v>
      </c>
      <c r="D112" s="16">
        <f>SUM(D101:D110)</f>
        <v>1.3650793650793651</v>
      </c>
      <c r="E112" s="15" t="s">
        <v>63</v>
      </c>
      <c r="F112">
        <f>SUM(F101:F110)</f>
        <v>0.31897203325774748</v>
      </c>
      <c r="H112" s="15" t="s">
        <v>63</v>
      </c>
      <c r="I112" s="16">
        <f>SUM(I101:I105)</f>
        <v>5.5679550115332687E-53</v>
      </c>
      <c r="K112" s="15" t="s">
        <v>64</v>
      </c>
      <c r="L112" s="15" t="s">
        <v>65</v>
      </c>
      <c r="P112" s="15" t="s">
        <v>63</v>
      </c>
      <c r="Q112" s="16">
        <f>SUM(Q101:Q110)</f>
        <v>1.4444444444444442</v>
      </c>
      <c r="R112" s="15" t="s">
        <v>63</v>
      </c>
      <c r="S112">
        <f>SUM(S101:S110)</f>
        <v>0.34845049130763406</v>
      </c>
      <c r="U112" s="15" t="s">
        <v>63</v>
      </c>
      <c r="V112" s="16">
        <f>SUM(V101:V105)</f>
        <v>5.5679550115332687E-53</v>
      </c>
      <c r="X112" s="15" t="s">
        <v>64</v>
      </c>
      <c r="Y112" s="15" t="s">
        <v>65</v>
      </c>
      <c r="AD112" s="15" t="s">
        <v>63</v>
      </c>
      <c r="AE112" s="16">
        <f>SUM(AE101:AE110)</f>
        <v>1.666666666666667</v>
      </c>
      <c r="AF112" s="15" t="s">
        <v>63</v>
      </c>
      <c r="AG112">
        <f>SUM(AG101:AG110)</f>
        <v>0.46586041824137059</v>
      </c>
      <c r="AI112" s="15" t="s">
        <v>63</v>
      </c>
      <c r="AJ112" s="16">
        <f>SUM(AJ101:AJ105)</f>
        <v>5.5679550115332687E-53</v>
      </c>
      <c r="AL112" s="15" t="s">
        <v>64</v>
      </c>
      <c r="AM112" s="15" t="s">
        <v>65</v>
      </c>
    </row>
    <row r="113" spans="2:39" x14ac:dyDescent="0.25">
      <c r="D113" t="s">
        <v>66</v>
      </c>
      <c r="F113" t="s">
        <v>67</v>
      </c>
      <c r="I113" t="s">
        <v>68</v>
      </c>
      <c r="K113">
        <f>SUM(K101:K105)</f>
        <v>0.25447215923406397</v>
      </c>
      <c r="L113">
        <f>(I112-F112)^2</f>
        <v>0.10174315800058156</v>
      </c>
      <c r="Q113" t="s">
        <v>66</v>
      </c>
      <c r="S113" t="s">
        <v>67</v>
      </c>
      <c r="V113" t="s">
        <v>68</v>
      </c>
      <c r="X113">
        <f>SUM(X101:X105)</f>
        <v>0.28395061728395055</v>
      </c>
      <c r="Y113">
        <f>(V112-S112)^2</f>
        <v>0.12141774489253156</v>
      </c>
      <c r="AE113" t="s">
        <v>66</v>
      </c>
      <c r="AG113" t="s">
        <v>67</v>
      </c>
      <c r="AJ113" t="s">
        <v>68</v>
      </c>
      <c r="AL113">
        <f>SUM(AL101:AL105)</f>
        <v>0.38422776518014612</v>
      </c>
      <c r="AM113">
        <f>(AJ112-AG112)^2</f>
        <v>0.21702592928402473</v>
      </c>
    </row>
    <row r="117" spans="2:39" x14ac:dyDescent="0.25">
      <c r="B117" t="s">
        <v>21</v>
      </c>
      <c r="C117">
        <v>6690</v>
      </c>
      <c r="F117" t="s">
        <v>8</v>
      </c>
      <c r="G117">
        <v>-12.799999</v>
      </c>
      <c r="O117" t="s">
        <v>21</v>
      </c>
      <c r="P117">
        <v>6690</v>
      </c>
      <c r="S117" t="s">
        <v>8</v>
      </c>
      <c r="T117">
        <v>-12.799999</v>
      </c>
      <c r="AC117" t="s">
        <v>21</v>
      </c>
      <c r="AD117">
        <v>6690</v>
      </c>
      <c r="AG117" t="s">
        <v>8</v>
      </c>
      <c r="AH117">
        <v>-12.799999</v>
      </c>
    </row>
    <row r="118" spans="2:39" x14ac:dyDescent="0.25">
      <c r="B118" t="s">
        <v>69</v>
      </c>
      <c r="C118">
        <v>0.17399999999999999</v>
      </c>
      <c r="F118" s="4" t="s">
        <v>73</v>
      </c>
      <c r="G118">
        <v>0.60000066519457163</v>
      </c>
      <c r="O118" t="s">
        <v>69</v>
      </c>
      <c r="P118">
        <v>0.17399999999999999</v>
      </c>
      <c r="S118" s="4" t="s">
        <v>73</v>
      </c>
      <c r="T118">
        <v>0.60000066519457163</v>
      </c>
      <c r="AC118" t="s">
        <v>69</v>
      </c>
      <c r="AD118">
        <v>0.17399999999999999</v>
      </c>
      <c r="AG118" s="4" t="s">
        <v>73</v>
      </c>
      <c r="AH118">
        <v>0.60000066519457163</v>
      </c>
    </row>
    <row r="119" spans="2:39" x14ac:dyDescent="0.25">
      <c r="F119" t="s">
        <v>70</v>
      </c>
      <c r="G119" s="17">
        <f>1-(K113/L113)</f>
        <v>-1.5011230655196433</v>
      </c>
      <c r="S119" t="s">
        <v>70</v>
      </c>
      <c r="T119" s="17">
        <f>1-(X113/Y113)</f>
        <v>-1.3386253593762509</v>
      </c>
      <c r="AG119" t="s">
        <v>70</v>
      </c>
      <c r="AH119" s="17">
        <f>1-(AL113/AM113)</f>
        <v>-0.77042331507449568</v>
      </c>
    </row>
    <row r="121" spans="2:39" x14ac:dyDescent="0.25">
      <c r="B121" s="12" t="s">
        <v>6</v>
      </c>
      <c r="C121" s="12" t="s">
        <v>7</v>
      </c>
      <c r="D121" s="12"/>
      <c r="E121" s="12"/>
      <c r="F121" s="12"/>
      <c r="G121" s="12"/>
      <c r="H121" s="18"/>
      <c r="I121" s="12"/>
      <c r="O121" s="12" t="s">
        <v>6</v>
      </c>
      <c r="P121" s="12" t="s">
        <v>7</v>
      </c>
      <c r="Q121" s="12"/>
      <c r="R121" s="12"/>
      <c r="S121" s="12"/>
      <c r="T121" s="12"/>
      <c r="U121" s="18"/>
      <c r="V121" s="12"/>
      <c r="AC121" s="12" t="s">
        <v>6</v>
      </c>
      <c r="AD121" s="12" t="s">
        <v>7</v>
      </c>
      <c r="AE121" s="12"/>
      <c r="AF121" s="12"/>
      <c r="AG121" s="12"/>
      <c r="AH121" s="12"/>
      <c r="AI121" s="18"/>
      <c r="AJ121" s="12"/>
    </row>
    <row r="122" spans="2:39" x14ac:dyDescent="0.25">
      <c r="B122">
        <f>SLOPE(D101:D106,E101:E106)</f>
        <v>0.20870510781278484</v>
      </c>
      <c r="C122">
        <f>INTERCEPT(D101:D106,E101:E106)</f>
        <v>0.38481432714804709</v>
      </c>
      <c r="H122" s="17"/>
      <c r="O122">
        <f>SLOPE(Q101:Q106,R101:R106)</f>
        <v>0.23901579592381217</v>
      </c>
      <c r="P122">
        <f>INTERCEPT(Q101:Q106,R101:R106)</f>
        <v>0.40402035481072873</v>
      </c>
      <c r="U122" s="17"/>
      <c r="AC122">
        <f>SLOPE(AE101:AE106,AF101:AF106)</f>
        <v>0.26994981609876095</v>
      </c>
      <c r="AD122">
        <f>INTERCEPT(AE101:AE106,AF101:AF106)</f>
        <v>0.42415616171507287</v>
      </c>
      <c r="AI122" s="17"/>
    </row>
    <row r="126" spans="2:39" x14ac:dyDescent="0.25">
      <c r="C126" s="28" t="s">
        <v>83</v>
      </c>
      <c r="D126" s="28"/>
      <c r="E126" s="28"/>
      <c r="F126" s="28"/>
      <c r="H126" s="28" t="s">
        <v>84</v>
      </c>
      <c r="I126" s="28"/>
      <c r="J126" s="28"/>
      <c r="K126" s="28"/>
    </row>
    <row r="127" spans="2:39" x14ac:dyDescent="0.25">
      <c r="D127" s="11" t="s">
        <v>25</v>
      </c>
      <c r="E127" s="1" t="s">
        <v>27</v>
      </c>
      <c r="F127" s="1" t="s">
        <v>29</v>
      </c>
      <c r="I127" s="11" t="s">
        <v>25</v>
      </c>
      <c r="J127" s="1" t="s">
        <v>27</v>
      </c>
      <c r="K127" s="1" t="s">
        <v>29</v>
      </c>
    </row>
    <row r="128" spans="2:39" x14ac:dyDescent="0.25">
      <c r="C128" t="s">
        <v>78</v>
      </c>
      <c r="D128" s="11" t="s">
        <v>26</v>
      </c>
      <c r="E128" s="6" t="s">
        <v>28</v>
      </c>
      <c r="F128" s="6" t="s">
        <v>30</v>
      </c>
      <c r="H128" t="s">
        <v>78</v>
      </c>
      <c r="I128" s="11" t="s">
        <v>26</v>
      </c>
      <c r="J128" s="6" t="s">
        <v>28</v>
      </c>
      <c r="K128" s="6" t="s">
        <v>30</v>
      </c>
    </row>
    <row r="129" spans="3:12" x14ac:dyDescent="0.25">
      <c r="C129">
        <f>A101</f>
        <v>10</v>
      </c>
      <c r="D129" s="2">
        <f>H101</f>
        <v>3.9375</v>
      </c>
      <c r="E129" s="2">
        <f>U101</f>
        <v>3.9375</v>
      </c>
      <c r="F129" s="2">
        <f>AI101</f>
        <v>3.3157894736842106</v>
      </c>
      <c r="G129" s="2"/>
      <c r="H129" s="19">
        <f>A101</f>
        <v>10</v>
      </c>
      <c r="I129" s="2">
        <f>D101</f>
        <v>0.25396825396825395</v>
      </c>
      <c r="J129" s="2">
        <f>Q101</f>
        <v>0.25396825396825395</v>
      </c>
      <c r="K129" s="2">
        <f>AE101</f>
        <v>0.30158730158730157</v>
      </c>
      <c r="L129" s="2"/>
    </row>
    <row r="130" spans="3:12" x14ac:dyDescent="0.25">
      <c r="C130">
        <f t="shared" ref="C130:C134" si="80">A102</f>
        <v>20</v>
      </c>
      <c r="D130" s="2">
        <f t="shared" ref="D130:D134" si="81">H102</f>
        <v>3.7058823529411762</v>
      </c>
      <c r="E130" s="2">
        <f t="shared" ref="E130:E134" si="82">U102</f>
        <v>4.2</v>
      </c>
      <c r="F130" s="2">
        <f t="shared" ref="F130:F134" si="83">AI102</f>
        <v>4.2</v>
      </c>
      <c r="G130" s="2"/>
      <c r="H130" s="19">
        <f t="shared" ref="H130:H134" si="84">A102</f>
        <v>20</v>
      </c>
      <c r="I130" s="2">
        <f t="shared" ref="I130:I134" si="85">D102</f>
        <v>0.26984126984126988</v>
      </c>
      <c r="J130" s="2">
        <f t="shared" ref="J130:J134" si="86">Q102</f>
        <v>0.23809523809523808</v>
      </c>
      <c r="K130" s="2">
        <f t="shared" ref="K130:K134" si="87">AE102</f>
        <v>0.23809523809523808</v>
      </c>
      <c r="L130" s="2"/>
    </row>
    <row r="131" spans="3:12" x14ac:dyDescent="0.25">
      <c r="C131">
        <f t="shared" si="80"/>
        <v>30</v>
      </c>
      <c r="D131" s="2">
        <f t="shared" si="81"/>
        <v>4.5000000000000009</v>
      </c>
      <c r="E131" s="2">
        <f t="shared" si="82"/>
        <v>4.2</v>
      </c>
      <c r="F131" s="2">
        <f t="shared" si="83"/>
        <v>3.7058823529411762</v>
      </c>
      <c r="G131" s="2"/>
      <c r="H131" s="19">
        <f t="shared" si="84"/>
        <v>30</v>
      </c>
      <c r="I131" s="2">
        <f t="shared" si="85"/>
        <v>0.22222222222222218</v>
      </c>
      <c r="J131" s="2">
        <f t="shared" si="86"/>
        <v>0.23809523809523808</v>
      </c>
      <c r="K131" s="2">
        <f t="shared" si="87"/>
        <v>0.26984126984126988</v>
      </c>
      <c r="L131" s="2"/>
    </row>
    <row r="132" spans="3:12" x14ac:dyDescent="0.25">
      <c r="C132">
        <f t="shared" si="80"/>
        <v>40</v>
      </c>
      <c r="D132" s="2">
        <f t="shared" si="81"/>
        <v>6.3000000000000007</v>
      </c>
      <c r="E132" s="2">
        <f t="shared" si="82"/>
        <v>4.2</v>
      </c>
      <c r="F132" s="2">
        <f t="shared" si="83"/>
        <v>3.7058823529411762</v>
      </c>
      <c r="G132" s="2"/>
      <c r="H132" s="19">
        <f t="shared" si="84"/>
        <v>40</v>
      </c>
      <c r="I132" s="2">
        <f t="shared" si="85"/>
        <v>0.15873015873015872</v>
      </c>
      <c r="J132" s="2">
        <f t="shared" si="86"/>
        <v>0.23809523809523808</v>
      </c>
      <c r="K132" s="2">
        <f t="shared" si="87"/>
        <v>0.26984126984126988</v>
      </c>
      <c r="L132" s="2"/>
    </row>
    <row r="133" spans="3:12" x14ac:dyDescent="0.25">
      <c r="C133">
        <f t="shared" si="80"/>
        <v>50</v>
      </c>
      <c r="D133" s="2">
        <f t="shared" si="81"/>
        <v>4.8461538461538458</v>
      </c>
      <c r="E133" s="2">
        <f t="shared" si="82"/>
        <v>4.5000000000000009</v>
      </c>
      <c r="F133" s="2">
        <f t="shared" si="83"/>
        <v>3.3157894736842106</v>
      </c>
      <c r="G133" s="2"/>
      <c r="H133" s="19">
        <f t="shared" si="84"/>
        <v>50</v>
      </c>
      <c r="I133" s="2">
        <f t="shared" si="85"/>
        <v>0.20634920634920634</v>
      </c>
      <c r="J133" s="2">
        <f t="shared" si="86"/>
        <v>0.22222222222222218</v>
      </c>
      <c r="K133" s="2">
        <f t="shared" si="87"/>
        <v>0.30158730158730157</v>
      </c>
      <c r="L133" s="2"/>
    </row>
    <row r="134" spans="3:12" x14ac:dyDescent="0.25">
      <c r="C134">
        <f t="shared" si="80"/>
        <v>60</v>
      </c>
      <c r="D134" s="2">
        <f t="shared" si="81"/>
        <v>3.9375</v>
      </c>
      <c r="E134" s="2">
        <f t="shared" si="82"/>
        <v>3.9375</v>
      </c>
      <c r="F134" s="2">
        <f t="shared" si="83"/>
        <v>3.5000000000000004</v>
      </c>
      <c r="G134" s="2"/>
      <c r="H134" s="19">
        <f t="shared" si="84"/>
        <v>60</v>
      </c>
      <c r="I134" s="2">
        <f t="shared" si="85"/>
        <v>0.25396825396825395</v>
      </c>
      <c r="J134" s="2">
        <f t="shared" si="86"/>
        <v>0.25396825396825395</v>
      </c>
      <c r="K134" s="2">
        <f t="shared" si="87"/>
        <v>0.2857142857142857</v>
      </c>
      <c r="L134" s="2"/>
    </row>
    <row r="135" spans="3:12" x14ac:dyDescent="0.25">
      <c r="H135" s="19"/>
    </row>
  </sheetData>
  <mergeCells count="37">
    <mergeCell ref="B97:D97"/>
    <mergeCell ref="O97:Q97"/>
    <mergeCell ref="AC97:AE97"/>
    <mergeCell ref="C126:F126"/>
    <mergeCell ref="H126:K126"/>
    <mergeCell ref="A95:L95"/>
    <mergeCell ref="N95:Y95"/>
    <mergeCell ref="AB95:AM95"/>
    <mergeCell ref="B96:L96"/>
    <mergeCell ref="O96:Y96"/>
    <mergeCell ref="AC96:AM96"/>
    <mergeCell ref="B57:D57"/>
    <mergeCell ref="O57:Q57"/>
    <mergeCell ref="AC57:AE57"/>
    <mergeCell ref="B85:E85"/>
    <mergeCell ref="G85:J85"/>
    <mergeCell ref="A55:L55"/>
    <mergeCell ref="N55:Y55"/>
    <mergeCell ref="AB55:AM55"/>
    <mergeCell ref="B56:L56"/>
    <mergeCell ref="O56:Y56"/>
    <mergeCell ref="AC56:AM56"/>
    <mergeCell ref="B16:D16"/>
    <mergeCell ref="O16:Q16"/>
    <mergeCell ref="AB16:AD16"/>
    <mergeCell ref="B43:E43"/>
    <mergeCell ref="G43:J43"/>
    <mergeCell ref="N14:Y14"/>
    <mergeCell ref="AA14:AL14"/>
    <mergeCell ref="B15:L15"/>
    <mergeCell ref="O15:Y15"/>
    <mergeCell ref="AB15:AL15"/>
    <mergeCell ref="A1:J1"/>
    <mergeCell ref="B2:D2"/>
    <mergeCell ref="E2:G2"/>
    <mergeCell ref="H2:J2"/>
    <mergeCell ref="A14:L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Yoon Linear_Fe</vt:lpstr>
      <vt:lpstr>Yoon Linear_Mn</vt:lpstr>
      <vt:lpstr>Thomas Linear_Fe</vt:lpstr>
      <vt:lpstr>Thomas Linear_Mn</vt:lpstr>
      <vt:lpstr>Adam &amp; bohaart linear_Fe</vt:lpstr>
      <vt:lpstr>Adam Bohaart linear_Mn</vt:lpstr>
      <vt:lpstr>Yoon Nonlinear_Fe</vt:lpstr>
      <vt:lpstr>Yoon nonlinear_Mn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2022-08-24T09:25:24Z</dcterms:created>
  <dcterms:modified xsi:type="dcterms:W3CDTF">2022-12-08T01:45:59Z</dcterms:modified>
</cp:coreProperties>
</file>