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Masters\Experimental Data\1. Type 1 brine\3-hour runs\"/>
    </mc:Choice>
  </mc:AlternateContent>
  <xr:revisionPtr revIDLastSave="0" documentId="13_ncr:1_{05B71C2C-C33F-4CE9-92E3-AF23CFAE680A}" xr6:coauthVersionLast="47" xr6:coauthVersionMax="47" xr10:uidLastSave="{00000000-0000-0000-0000-000000000000}"/>
  <bookViews>
    <workbookView xWindow="-120" yWindow="-120" windowWidth="29040" windowHeight="15720" tabRatio="886" activeTab="4" xr2:uid="{C033A472-50C2-4BA0-92D2-1ABFB57F125A}"/>
  </bookViews>
  <sheets>
    <sheet name="Data" sheetId="1" r:id="rId1"/>
    <sheet name="Flux Chart" sheetId="5" r:id="rId2"/>
    <sheet name="Cumulative Volume Graph" sheetId="8" r:id="rId3"/>
    <sheet name="Average Flux and Cum. Volume" sheetId="9" r:id="rId4"/>
    <sheet name="Recovery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" l="1"/>
  <c r="AB4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5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53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29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4" i="1"/>
  <c r="Y28" i="1"/>
  <c r="X28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53" i="1"/>
  <c r="K54" i="1" l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53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4" i="1"/>
  <c r="M72" i="1" l="1"/>
  <c r="AD14" i="1" l="1"/>
  <c r="AD15" i="1"/>
  <c r="V23" i="1"/>
  <c r="T72" i="1"/>
  <c r="T48" i="1"/>
  <c r="T24" i="1"/>
  <c r="S55" i="1"/>
  <c r="T55" i="1" s="1"/>
  <c r="S56" i="1"/>
  <c r="S60" i="1"/>
  <c r="T60" i="1" s="1"/>
  <c r="S61" i="1"/>
  <c r="T61" i="1" s="1"/>
  <c r="S62" i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70" i="1"/>
  <c r="T70" i="1" s="1"/>
  <c r="S30" i="1"/>
  <c r="S31" i="1"/>
  <c r="S32" i="1"/>
  <c r="T32" i="1" s="1"/>
  <c r="S33" i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29" i="1"/>
  <c r="R6" i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5" i="1"/>
  <c r="S5" i="1" s="1"/>
  <c r="C9" i="1"/>
  <c r="M48" i="1"/>
  <c r="M24" i="1"/>
  <c r="S57" i="1"/>
  <c r="S58" i="1"/>
  <c r="T58" i="1" s="1"/>
  <c r="S59" i="1"/>
  <c r="S69" i="1"/>
  <c r="T69" i="1" s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K46" i="1"/>
  <c r="L46" i="1" s="1"/>
  <c r="M46" i="1" s="1"/>
  <c r="K45" i="1"/>
  <c r="L45" i="1" s="1"/>
  <c r="M45" i="1" s="1"/>
  <c r="K44" i="1"/>
  <c r="L44" i="1" s="1"/>
  <c r="M44" i="1" s="1"/>
  <c r="K43" i="1"/>
  <c r="L43" i="1" s="1"/>
  <c r="M43" i="1" s="1"/>
  <c r="K42" i="1"/>
  <c r="L42" i="1" s="1"/>
  <c r="M42" i="1" s="1"/>
  <c r="K41" i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5" i="1"/>
  <c r="L5" i="1" s="1"/>
  <c r="M5" i="1" s="1"/>
  <c r="AE11" i="1" l="1"/>
  <c r="Z28" i="1"/>
  <c r="AE13" i="1"/>
  <c r="M71" i="1"/>
  <c r="AE10" i="1"/>
  <c r="AA20" i="1"/>
  <c r="AA28" i="1"/>
  <c r="AD17" i="1"/>
  <c r="AD22" i="1"/>
  <c r="AA21" i="1"/>
  <c r="AD20" i="1"/>
  <c r="AD19" i="1"/>
  <c r="AD16" i="1"/>
  <c r="AD21" i="1"/>
  <c r="AD13" i="1"/>
  <c r="AD12" i="1"/>
  <c r="AD11" i="1"/>
  <c r="AD18" i="1"/>
  <c r="AA5" i="1"/>
  <c r="AA9" i="1"/>
  <c r="AA8" i="1"/>
  <c r="AD10" i="1"/>
  <c r="AD9" i="1"/>
  <c r="AD8" i="1"/>
  <c r="AD7" i="1"/>
  <c r="AD6" i="1"/>
  <c r="AA17" i="1"/>
  <c r="AA11" i="1"/>
  <c r="AE8" i="1"/>
  <c r="AE7" i="1"/>
  <c r="AA10" i="1"/>
  <c r="AA22" i="1"/>
  <c r="AE20" i="1"/>
  <c r="AE19" i="1"/>
  <c r="T18" i="1"/>
  <c r="AC18" i="1" s="1"/>
  <c r="AE18" i="1"/>
  <c r="T9" i="1"/>
  <c r="AC9" i="1" s="1"/>
  <c r="AE9" i="1"/>
  <c r="AA6" i="1"/>
  <c r="AA16" i="1"/>
  <c r="AE17" i="1"/>
  <c r="T21" i="1"/>
  <c r="AC21" i="1" s="1"/>
  <c r="AE21" i="1"/>
  <c r="AA19" i="1"/>
  <c r="AA15" i="1"/>
  <c r="AE16" i="1"/>
  <c r="AA18" i="1"/>
  <c r="AA14" i="1"/>
  <c r="T15" i="1"/>
  <c r="AC15" i="1" s="1"/>
  <c r="AE15" i="1"/>
  <c r="AA7" i="1"/>
  <c r="AA13" i="1"/>
  <c r="AE14" i="1"/>
  <c r="AA12" i="1"/>
  <c r="AE22" i="1"/>
  <c r="T12" i="1"/>
  <c r="AC12" i="1" s="1"/>
  <c r="AE12" i="1"/>
  <c r="T47" i="1"/>
  <c r="V71" i="1"/>
  <c r="T20" i="1"/>
  <c r="M23" i="1"/>
  <c r="T22" i="1"/>
  <c r="T11" i="1"/>
  <c r="T19" i="1"/>
  <c r="T8" i="1"/>
  <c r="T16" i="1"/>
  <c r="T17" i="1"/>
  <c r="T13" i="1"/>
  <c r="T10" i="1"/>
  <c r="T14" i="1"/>
  <c r="M47" i="1"/>
  <c r="AD5" i="1" l="1"/>
  <c r="AD23" i="1" s="1"/>
  <c r="V47" i="1"/>
  <c r="AA23" i="1"/>
  <c r="AC11" i="1"/>
  <c r="AC22" i="1"/>
  <c r="AC19" i="1"/>
  <c r="AC10" i="1"/>
  <c r="AC17" i="1"/>
  <c r="AC7" i="1"/>
  <c r="AC8" i="1"/>
  <c r="AC13" i="1"/>
  <c r="AC20" i="1"/>
  <c r="AC16" i="1"/>
  <c r="AC14" i="1"/>
  <c r="T23" i="1"/>
  <c r="S54" i="1"/>
  <c r="AE6" i="1" s="1"/>
  <c r="S53" i="1"/>
  <c r="AE5" i="1" s="1"/>
  <c r="AF5" i="1" s="1"/>
  <c r="AG5" i="1" l="1"/>
  <c r="AF6" i="1"/>
  <c r="AF7" i="1" l="1"/>
  <c r="AG6" i="1"/>
  <c r="AC23" i="1"/>
  <c r="T71" i="1"/>
  <c r="AG7" i="1" l="1"/>
  <c r="AF8" i="1"/>
  <c r="AG8" i="1" l="1"/>
  <c r="AF9" i="1"/>
  <c r="AG9" i="1" l="1"/>
  <c r="AF10" i="1"/>
  <c r="AG10" i="1" l="1"/>
  <c r="AF11" i="1"/>
  <c r="AG11" i="1" l="1"/>
  <c r="AF12" i="1"/>
  <c r="AG12" i="1" l="1"/>
  <c r="AF13" i="1"/>
  <c r="AG13" i="1" l="1"/>
  <c r="AF14" i="1"/>
  <c r="AG14" i="1" l="1"/>
  <c r="AF15" i="1"/>
  <c r="AG15" i="1" l="1"/>
  <c r="AF16" i="1"/>
  <c r="AG16" i="1" l="1"/>
  <c r="AF17" i="1"/>
  <c r="AG17" i="1" l="1"/>
  <c r="AF18" i="1"/>
  <c r="AG18" i="1" l="1"/>
  <c r="AF19" i="1"/>
  <c r="AG19" i="1" l="1"/>
  <c r="AF20" i="1"/>
  <c r="AG20" i="1" l="1"/>
  <c r="AF21" i="1"/>
  <c r="AG21" i="1" l="1"/>
  <c r="AF22" i="1"/>
  <c r="AG22" i="1" s="1"/>
</calcChain>
</file>

<file path=xl/sharedStrings.xml><?xml version="1.0" encoding="utf-8"?>
<sst xmlns="http://schemas.openxmlformats.org/spreadsheetml/2006/main" count="116" uniqueCount="50">
  <si>
    <t>1mm equivalent feed (ml)</t>
  </si>
  <si>
    <t>1mm equivalent permeate (ml)</t>
  </si>
  <si>
    <t>Membrane used</t>
  </si>
  <si>
    <t>Feed Agitator (RPM)</t>
  </si>
  <si>
    <t>Permeate Agitator (RPM)</t>
  </si>
  <si>
    <t>Feed Flowrate (l/hr)</t>
  </si>
  <si>
    <t>Permeate Flowrate (l/hr)</t>
  </si>
  <si>
    <t>Time (min)</t>
  </si>
  <si>
    <t>EC01 (mS/cm)</t>
  </si>
  <si>
    <t>L1 (cm)</t>
  </si>
  <si>
    <t>FEED</t>
  </si>
  <si>
    <t>PERMEATE</t>
  </si>
  <si>
    <t>RUN 1</t>
  </si>
  <si>
    <t>DUP 1</t>
  </si>
  <si>
    <t>DUP 2</t>
  </si>
  <si>
    <t>Cum. Volume (ml)</t>
  </si>
  <si>
    <t>Overall Flux</t>
  </si>
  <si>
    <t>Average Flux</t>
  </si>
  <si>
    <t>NaCl</t>
  </si>
  <si>
    <t>Feed Solution (g/L)</t>
  </si>
  <si>
    <t>TDS (g/l)</t>
  </si>
  <si>
    <t>Salt Rejection (%)</t>
  </si>
  <si>
    <r>
      <t>TT01</t>
    </r>
    <r>
      <rPr>
        <b/>
        <vertAlign val="subscript"/>
        <sz val="12"/>
        <color theme="1"/>
        <rFont val="Arial"/>
        <family val="2"/>
      </rPr>
      <t xml:space="preserve">in </t>
    </r>
    <r>
      <rPr>
        <b/>
        <sz val="12"/>
        <color theme="1"/>
        <rFont val="Arial"/>
        <family val="2"/>
      </rPr>
      <t>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</si>
  <si>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</si>
  <si>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</si>
  <si>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</si>
  <si>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EC02 (µS/cm)</t>
  </si>
  <si>
    <r>
      <t>TT04</t>
    </r>
    <r>
      <rPr>
        <b/>
        <vertAlign val="subscript"/>
        <sz val="12"/>
        <color theme="1"/>
        <rFont val="Arial"/>
        <family val="2"/>
      </rPr>
      <t>in</t>
    </r>
    <r>
      <rPr>
        <b/>
        <sz val="12"/>
        <color theme="1"/>
        <rFont val="Arial"/>
        <family val="2"/>
      </rPr>
      <t xml:space="preserve">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</si>
  <si>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</si>
  <si>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</si>
  <si>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</si>
  <si>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Volume</t>
    </r>
    <r>
      <rPr>
        <b/>
        <vertAlign val="subscript"/>
        <sz val="12"/>
        <color theme="1"/>
        <rFont val="Arial"/>
        <family val="2"/>
      </rPr>
      <t>Ave</t>
    </r>
    <r>
      <rPr>
        <b/>
        <sz val="12"/>
        <color theme="1"/>
        <rFont val="Arial"/>
        <family val="2"/>
      </rPr>
      <t xml:space="preserve">  (ml)</t>
    </r>
  </si>
  <si>
    <r>
      <t>Membrane Area (m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</si>
  <si>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Feed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</si>
  <si>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Product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</si>
  <si>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Temperature Difference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</si>
  <si>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t>Date Performed</t>
  </si>
  <si>
    <t>L2 (cm)</t>
  </si>
  <si>
    <t>Volume (ml)</t>
  </si>
  <si>
    <t>Recovery</t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</si>
  <si>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(cm)</t>
    </r>
  </si>
  <si>
    <t>Average</t>
  </si>
  <si>
    <t>BRINE</t>
  </si>
  <si>
    <t>PRODUCT</t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</si>
  <si>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initial (g/l)</t>
    </r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</si>
  <si>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final (g/l)</t>
    </r>
  </si>
  <si>
    <r>
      <t>Overall 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</si>
  <si>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Overall Flux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</si>
  <si>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HVHP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</si>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</sst>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indexed="63"/>
      <name val="Arial"/>
      <family val="2"/>
    </font>
    <font>
      <b/>
      <sz val="12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b/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8" xfId="0" applyFont="1" applyFill="1" applyBorder="1"/>
    <xf numFmtId="0" fontId="1" fillId="2" borderId="0" xfId="0" applyFont="1" applyFill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21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1" fillId="0" borderId="35" xfId="0" applyFont="1" applyBorder="1"/>
    <xf numFmtId="0" fontId="2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36" xfId="0" applyFont="1" applyBorder="1"/>
    <xf numFmtId="0" fontId="3" fillId="0" borderId="36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38" xfId="0" applyFont="1" applyBorder="1"/>
    <xf numFmtId="0" fontId="3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42" xfId="0" applyFont="1" applyBorder="1"/>
    <xf numFmtId="0" fontId="1" fillId="0" borderId="42" xfId="0" applyFont="1" applyFill="1" applyBorder="1"/>
    <xf numFmtId="0" fontId="1" fillId="2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1" fillId="0" borderId="47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4" fontId="11" fillId="0" borderId="12" xfId="0" applyNumberFormat="1" applyFont="1" applyBorder="1" applyAlignment="1">
      <alignment horizontal="center" vertical="center"/>
    </xf>
    <xf numFmtId="0" fontId="4" fillId="0" borderId="28" xfId="0" applyFont="1" applyFill="1" applyBorder="1"/>
    <xf numFmtId="0" fontId="4" fillId="0" borderId="7" xfId="0" applyFont="1" applyBorder="1"/>
    <xf numFmtId="2" fontId="1" fillId="0" borderId="7" xfId="0" applyNumberFormat="1" applyFont="1" applyBorder="1"/>
    <xf numFmtId="0" fontId="1" fillId="0" borderId="7" xfId="0" applyFont="1" applyBorder="1"/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Data!$AC$4:$AC$22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3.1271889400923771</c:v>
                </c:pt>
                <c:pt idx="4">
                  <c:v>4.6907834101428705</c:v>
                </c:pt>
                <c:pt idx="5">
                  <c:v>3.1271889401070974</c:v>
                </c:pt>
                <c:pt idx="6">
                  <c:v>7.296774193542678</c:v>
                </c:pt>
                <c:pt idx="7">
                  <c:v>4.6907834101339834</c:v>
                </c:pt>
                <c:pt idx="8">
                  <c:v>5.2119815668223879</c:v>
                </c:pt>
                <c:pt idx="9">
                  <c:v>5.2119815668223879</c:v>
                </c:pt>
                <c:pt idx="10">
                  <c:v>7.8179723502321927</c:v>
                </c:pt>
                <c:pt idx="11">
                  <c:v>8.3391705069117101</c:v>
                </c:pt>
                <c:pt idx="12">
                  <c:v>6.2543778801855874</c:v>
                </c:pt>
                <c:pt idx="13">
                  <c:v>8.3391705069086548</c:v>
                </c:pt>
                <c:pt idx="14">
                  <c:v>8.3391705069135611</c:v>
                </c:pt>
                <c:pt idx="15">
                  <c:v>10.423963133638944</c:v>
                </c:pt>
                <c:pt idx="16">
                  <c:v>5.2119815668223879</c:v>
                </c:pt>
                <c:pt idx="17">
                  <c:v>17.72073732719014</c:v>
                </c:pt>
                <c:pt idx="18">
                  <c:v>8.3391705069095803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E-418C-AEC8-485C6E184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Run 1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Data!$T$5:$T$22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3.1271889400893222</c:v>
                </c:pt>
                <c:pt idx="4">
                  <c:v>3.1271889401070974</c:v>
                </c:pt>
                <c:pt idx="5">
                  <c:v>12.508755760357289</c:v>
                </c:pt>
                <c:pt idx="6">
                  <c:v>3.1271889400893222</c:v>
                </c:pt>
                <c:pt idx="7">
                  <c:v>6.2543778801964196</c:v>
                </c:pt>
                <c:pt idx="8">
                  <c:v>9.381566820267965</c:v>
                </c:pt>
                <c:pt idx="9">
                  <c:v>12.508755760375063</c:v>
                </c:pt>
                <c:pt idx="10">
                  <c:v>6.2543778801786445</c:v>
                </c:pt>
                <c:pt idx="11">
                  <c:v>6.2543778801964196</c:v>
                </c:pt>
                <c:pt idx="12">
                  <c:v>9.381566820267965</c:v>
                </c:pt>
                <c:pt idx="13">
                  <c:v>9.381566820267965</c:v>
                </c:pt>
                <c:pt idx="14">
                  <c:v>9.3815668202857427</c:v>
                </c:pt>
                <c:pt idx="15">
                  <c:v>9.381566820267965</c:v>
                </c:pt>
                <c:pt idx="16">
                  <c:v>12.508755760375063</c:v>
                </c:pt>
                <c:pt idx="17">
                  <c:v>3.1271889400893222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B9-4FEA-815B-A71038DF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Dup</a:t>
            </a:r>
            <a:r>
              <a:rPr lang="en-ZA" baseline="0"/>
              <a:t> 1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Dup 1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Data!$T$29:$T$46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6.2543778801964196</c:v>
                </c:pt>
                <c:pt idx="4">
                  <c:v>0</c:v>
                </c:pt>
                <c:pt idx="5">
                  <c:v>6.2543778801786445</c:v>
                </c:pt>
                <c:pt idx="6">
                  <c:v>6.2543778801786445</c:v>
                </c:pt>
                <c:pt idx="7">
                  <c:v>6.2543778801786445</c:v>
                </c:pt>
                <c:pt idx="8">
                  <c:v>3.1271889401070974</c:v>
                </c:pt>
                <c:pt idx="9">
                  <c:v>3.1271889400893222</c:v>
                </c:pt>
                <c:pt idx="10">
                  <c:v>15.635944700464387</c:v>
                </c:pt>
                <c:pt idx="11">
                  <c:v>9.381566820267965</c:v>
                </c:pt>
                <c:pt idx="12">
                  <c:v>3.1271889400893222</c:v>
                </c:pt>
                <c:pt idx="13">
                  <c:v>6.2543778801964196</c:v>
                </c:pt>
                <c:pt idx="14">
                  <c:v>15.635944700446609</c:v>
                </c:pt>
                <c:pt idx="15">
                  <c:v>3.1271889401070974</c:v>
                </c:pt>
                <c:pt idx="16">
                  <c:v>3.1271889400893222</c:v>
                </c:pt>
                <c:pt idx="17">
                  <c:v>6.2543778801786445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64-46D4-8BF7-93E8C8038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Dup</a:t>
            </a:r>
            <a:r>
              <a:rPr lang="en-ZA" baseline="0"/>
              <a:t> 2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Dup 2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Data!$T$53:$T$70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3.1271889400923771</c:v>
                </c:pt>
                <c:pt idx="3">
                  <c:v>0</c:v>
                </c:pt>
                <c:pt idx="4">
                  <c:v>0</c:v>
                </c:pt>
                <c:pt idx="5">
                  <c:v>3.1271889400920996</c:v>
                </c:pt>
                <c:pt idx="6">
                  <c:v>0</c:v>
                </c:pt>
                <c:pt idx="7">
                  <c:v>3.1271889400920996</c:v>
                </c:pt>
                <c:pt idx="8">
                  <c:v>3.1271889400920996</c:v>
                </c:pt>
                <c:pt idx="9">
                  <c:v>0</c:v>
                </c:pt>
                <c:pt idx="10">
                  <c:v>3.1271889400920996</c:v>
                </c:pt>
                <c:pt idx="11">
                  <c:v>3.1271889400923771</c:v>
                </c:pt>
                <c:pt idx="12">
                  <c:v>12.508755760368677</c:v>
                </c:pt>
                <c:pt idx="13">
                  <c:v>9.3815668202762978</c:v>
                </c:pt>
                <c:pt idx="14">
                  <c:v>6.2543778801844772</c:v>
                </c:pt>
                <c:pt idx="15">
                  <c:v>3.1271889400920996</c:v>
                </c:pt>
                <c:pt idx="16">
                  <c:v>37.52626728110603</c:v>
                </c:pt>
                <c:pt idx="17">
                  <c:v>15.635944700460772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C3-4C3F-A2F1-6761ACDC5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Data!$AF$4:$AF$22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0.75400000000005096</c:v>
                </c:pt>
                <c:pt idx="4">
                  <c:v>3.0160000000022795</c:v>
                </c:pt>
                <c:pt idx="5">
                  <c:v>3.7700000000058798</c:v>
                </c:pt>
                <c:pt idx="6">
                  <c:v>9.0480000000017498</c:v>
                </c:pt>
                <c:pt idx="7">
                  <c:v>11.309999999999693</c:v>
                </c:pt>
                <c:pt idx="8">
                  <c:v>15.08000000000122</c:v>
                </c:pt>
                <c:pt idx="9">
                  <c:v>18.850000000002748</c:v>
                </c:pt>
                <c:pt idx="10">
                  <c:v>22.620000000003607</c:v>
                </c:pt>
                <c:pt idx="11">
                  <c:v>28.652000000003078</c:v>
                </c:pt>
                <c:pt idx="12">
                  <c:v>33.176000000003988</c:v>
                </c:pt>
                <c:pt idx="13">
                  <c:v>39.208000000001249</c:v>
                </c:pt>
                <c:pt idx="14">
                  <c:v>45.240000000002055</c:v>
                </c:pt>
                <c:pt idx="15">
                  <c:v>52.780000000000889</c:v>
                </c:pt>
                <c:pt idx="16">
                  <c:v>56.550000000002413</c:v>
                </c:pt>
                <c:pt idx="17">
                  <c:v>69.368000000003278</c:v>
                </c:pt>
                <c:pt idx="18">
                  <c:v>75.400000000001199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D3-46DF-AA41-7271D1E6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091008"/>
        <c:axId val="1130066464"/>
      </c:scatterChart>
      <c:valAx>
        <c:axId val="113009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66464"/>
        <c:crosses val="autoZero"/>
        <c:crossBetween val="midCat"/>
      </c:valAx>
      <c:valAx>
        <c:axId val="113006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Cumulative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91008"/>
        <c:crosses val="autoZero"/>
        <c:crossBetween val="midCat"/>
      </c:valAx>
      <c:spPr>
        <a:solidFill>
          <a:srgbClr val="FFFFFF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Average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Data!$AC$4:$AC$22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3.1271889400923771</c:v>
                </c:pt>
                <c:pt idx="4">
                  <c:v>4.6907834101428705</c:v>
                </c:pt>
                <c:pt idx="5">
                  <c:v>3.1271889401070974</c:v>
                </c:pt>
                <c:pt idx="6">
                  <c:v>7.296774193542678</c:v>
                </c:pt>
                <c:pt idx="7">
                  <c:v>4.6907834101339834</c:v>
                </c:pt>
                <c:pt idx="8">
                  <c:v>5.2119815668223879</c:v>
                </c:pt>
                <c:pt idx="9">
                  <c:v>5.2119815668223879</c:v>
                </c:pt>
                <c:pt idx="10">
                  <c:v>7.8179723502321927</c:v>
                </c:pt>
                <c:pt idx="11">
                  <c:v>8.3391705069117101</c:v>
                </c:pt>
                <c:pt idx="12">
                  <c:v>6.2543778801855874</c:v>
                </c:pt>
                <c:pt idx="13">
                  <c:v>8.3391705069086548</c:v>
                </c:pt>
                <c:pt idx="14">
                  <c:v>8.3391705069135611</c:v>
                </c:pt>
                <c:pt idx="15">
                  <c:v>10.423963133638944</c:v>
                </c:pt>
                <c:pt idx="16">
                  <c:v>5.2119815668223879</c:v>
                </c:pt>
                <c:pt idx="17">
                  <c:v>17.72073732719014</c:v>
                </c:pt>
                <c:pt idx="18">
                  <c:v>8.3391705069095803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97-43C8-897F-278A9C40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085600"/>
        <c:axId val="1130079360"/>
      </c:scatterChart>
      <c:scatterChart>
        <c:scatterStyle val="lineMarker"/>
        <c:varyColors val="0"/>
        <c:ser>
          <c:idx val="0"/>
          <c:order val="0"/>
          <c:tx>
            <c:v>Cumulative 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Data!$AF$4:$AF$22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0.75400000000005096</c:v>
                </c:pt>
                <c:pt idx="4">
                  <c:v>3.0160000000022795</c:v>
                </c:pt>
                <c:pt idx="5">
                  <c:v>3.7700000000058798</c:v>
                </c:pt>
                <c:pt idx="6">
                  <c:v>9.0480000000017498</c:v>
                </c:pt>
                <c:pt idx="7">
                  <c:v>11.309999999999693</c:v>
                </c:pt>
                <c:pt idx="8">
                  <c:v>15.08000000000122</c:v>
                </c:pt>
                <c:pt idx="9">
                  <c:v>18.850000000002748</c:v>
                </c:pt>
                <c:pt idx="10">
                  <c:v>22.620000000003607</c:v>
                </c:pt>
                <c:pt idx="11">
                  <c:v>28.652000000003078</c:v>
                </c:pt>
                <c:pt idx="12">
                  <c:v>33.176000000003988</c:v>
                </c:pt>
                <c:pt idx="13">
                  <c:v>39.208000000001249</c:v>
                </c:pt>
                <c:pt idx="14">
                  <c:v>45.240000000002055</c:v>
                </c:pt>
                <c:pt idx="15">
                  <c:v>52.780000000000889</c:v>
                </c:pt>
                <c:pt idx="16">
                  <c:v>56.550000000002413</c:v>
                </c:pt>
                <c:pt idx="17">
                  <c:v>69.368000000003278</c:v>
                </c:pt>
                <c:pt idx="18">
                  <c:v>75.400000000001199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97-43C8-897F-278A9C40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369584"/>
        <c:axId val="808368752"/>
      </c:scatterChart>
      <c:valAx>
        <c:axId val="113008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79360"/>
        <c:crosses val="autoZero"/>
        <c:crossBetween val="midCat"/>
        <c:majorUnit val="10"/>
      </c:valAx>
      <c:valAx>
        <c:axId val="113007936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Ave. Flux (L/m</a:t>
                </a:r>
                <a:r>
                  <a:rPr lang="en-ZA" sz="1000" b="0" i="0" baseline="30000">
                    <a:effectLst/>
                  </a:rPr>
                  <a:t>2</a:t>
                </a:r>
                <a:r>
                  <a:rPr lang="en-ZA" sz="1000" b="0" i="0" baseline="0">
                    <a:effectLst/>
                  </a:rPr>
                  <a:t>.hr)</a:t>
                </a:r>
                <a:endParaRPr lang="en-ZA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85600"/>
        <c:crosses val="autoZero"/>
        <c:crossBetween val="midCat"/>
      </c:valAx>
      <c:valAx>
        <c:axId val="8083687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Cum.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369584"/>
        <c:crosses val="max"/>
        <c:crossBetween val="midCat"/>
      </c:valAx>
      <c:valAx>
        <c:axId val="80836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836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Recovery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Data!$AG$4:$AG$22</c:f>
              <c:numCache>
                <c:formatCode>General</c:formatCode>
                <c:ptCount val="19"/>
                <c:pt idx="1">
                  <c:v>0</c:v>
                </c:pt>
                <c:pt idx="2">
                  <c:v>0</c:v>
                </c:pt>
                <c:pt idx="3">
                  <c:v>3.7700000000002551E-2</c:v>
                </c:pt>
                <c:pt idx="4">
                  <c:v>0.15080000000011398</c:v>
                </c:pt>
                <c:pt idx="5">
                  <c:v>0.18850000000029399</c:v>
                </c:pt>
                <c:pt idx="6">
                  <c:v>0.45240000000008745</c:v>
                </c:pt>
                <c:pt idx="7">
                  <c:v>0.56549999999998468</c:v>
                </c:pt>
                <c:pt idx="8">
                  <c:v>0.75400000000006107</c:v>
                </c:pt>
                <c:pt idx="9">
                  <c:v>0.94250000000013734</c:v>
                </c:pt>
                <c:pt idx="10">
                  <c:v>1.1310000000001803</c:v>
                </c:pt>
                <c:pt idx="11">
                  <c:v>1.432600000000154</c:v>
                </c:pt>
                <c:pt idx="12">
                  <c:v>1.6588000000001994</c:v>
                </c:pt>
                <c:pt idx="13">
                  <c:v>1.9604000000000625</c:v>
                </c:pt>
                <c:pt idx="14">
                  <c:v>2.2620000000001026</c:v>
                </c:pt>
                <c:pt idx="15">
                  <c:v>2.6390000000000446</c:v>
                </c:pt>
                <c:pt idx="16">
                  <c:v>2.8275000000001205</c:v>
                </c:pt>
                <c:pt idx="17">
                  <c:v>3.4684000000001638</c:v>
                </c:pt>
                <c:pt idx="18">
                  <c:v>3.77000000000006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D5-444D-85A5-48334894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3999"/>
        <c:axId val="29014415"/>
      </c:scatterChart>
      <c:valAx>
        <c:axId val="29013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4415"/>
        <c:crosses val="autoZero"/>
        <c:crossBetween val="midCat"/>
        <c:majorUnit val="10"/>
      </c:valAx>
      <c:valAx>
        <c:axId val="29014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Recovery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39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129268</xdr:colOff>
      <xdr:row>0</xdr:row>
      <xdr:rowOff>84363</xdr:rowOff>
    </xdr:from>
    <xdr:to>
      <xdr:col>14</xdr:col>
      <xdr:colOff>556768</xdr:colOff>
      <xdr:row>28</xdr:row>
      <xdr:rowOff>150363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EB52AE-59A3-4404-A283-307F19389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31</xdr:col>
      <xdr:colOff>427500</xdr:colOff>
      <xdr:row>29</xdr:row>
      <xdr:rowOff>66000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C16305-9BF7-48DC-A092-C9E3432A1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427500</xdr:colOff>
      <xdr:row>60</xdr:row>
      <xdr:rowOff>66000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CF1280-5228-4A53-B50A-8A2B1DDCA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367393</xdr:colOff>
      <xdr:row>32</xdr:row>
      <xdr:rowOff>13607</xdr:rowOff>
    </xdr:from>
    <xdr:to>
      <xdr:col>30</xdr:col>
      <xdr:colOff>182571</xdr:colOff>
      <xdr:row>60</xdr:row>
      <xdr:rowOff>79607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71F076-D00A-4339-9FE6-C819EC0F3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164570</xdr:colOff>
      <xdr:row>0</xdr:row>
      <xdr:rowOff>103187</xdr:rowOff>
    </xdr:from>
    <xdr:to>
      <xdr:col>15</xdr:col>
      <xdr:colOff>20570</xdr:colOff>
      <xdr:row>28</xdr:row>
      <xdr:rowOff>169187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6C7E54-7C08-4797-B205-524BBA814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61912</xdr:rowOff>
    </xdr:from>
    <xdr:to>
      <xdr:col>16</xdr:col>
      <xdr:colOff>370350</xdr:colOff>
      <xdr:row>30</xdr:row>
      <xdr:rowOff>127912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174F12-65BA-4325-8A56-C28C978FA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90487</xdr:rowOff>
    </xdr:from>
    <xdr:to>
      <xdr:col>14</xdr:col>
      <xdr:colOff>584662</xdr:colOff>
      <xdr:row>28</xdr:row>
      <xdr:rowOff>156487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D541EA-E12D-4839-80F0-F9D8478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19DB-9C55-4F9D-878A-7D56E281D817}">
  <dimension ref="A1:AO73"/>
  <sheetViews>
    <sheetView topLeftCell="A7" zoomScale="55" zoomScaleNormal="55" workbookViewId="0">
      <selection activeCell="AB38" sqref="AB38"/>
    </sheetView>
  </sheetViews>
  <sheetFormatPr defaultRowHeight="14.25" x14ac:dyDescent="0.2"/>
  <cols>
    <col min="1" max="1" width="1" style="5" customWidth="1"/>
    <col min="2" max="2" width="32" style="5" bestFit="1" customWidth="1"/>
    <col min="3" max="4" width="14.7109375" style="5" customWidth="1"/>
    <col min="5" max="5" width="10.7109375" style="5" customWidth="1"/>
    <col min="6" max="13" width="16.7109375" style="5" customWidth="1"/>
    <col min="14" max="14" width="0.5703125" style="5" customWidth="1"/>
    <col min="15" max="21" width="16.7109375" style="5" customWidth="1"/>
    <col min="22" max="22" width="16.7109375" style="73" customWidth="1"/>
    <col min="23" max="23" width="16.7109375" style="5" customWidth="1"/>
    <col min="24" max="33" width="18.7109375" style="5" customWidth="1"/>
    <col min="34" max="16384" width="9.140625" style="5"/>
  </cols>
  <sheetData>
    <row r="1" spans="1:41" ht="15" thickBot="1" x14ac:dyDescent="0.25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6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4"/>
      <c r="AO1" s="4"/>
    </row>
    <row r="2" spans="1:41" ht="19.5" thickTop="1" thickBot="1" x14ac:dyDescent="0.3">
      <c r="A2" s="1"/>
      <c r="B2" s="20" t="s">
        <v>36</v>
      </c>
      <c r="C2" s="87"/>
      <c r="D2" s="6"/>
      <c r="E2" s="131" t="s">
        <v>12</v>
      </c>
      <c r="F2" s="7"/>
      <c r="G2" s="140" t="s">
        <v>10</v>
      </c>
      <c r="H2" s="141"/>
      <c r="I2" s="141"/>
      <c r="J2" s="141"/>
      <c r="K2" s="141"/>
      <c r="L2" s="141"/>
      <c r="M2" s="142"/>
      <c r="N2" s="8"/>
      <c r="O2" s="140" t="s">
        <v>11</v>
      </c>
      <c r="P2" s="141"/>
      <c r="Q2" s="141"/>
      <c r="R2" s="141"/>
      <c r="S2" s="141"/>
      <c r="T2" s="141"/>
      <c r="U2" s="141"/>
      <c r="V2" s="142"/>
      <c r="W2" s="1"/>
      <c r="X2" s="148" t="s">
        <v>41</v>
      </c>
      <c r="Y2" s="152" t="s">
        <v>7</v>
      </c>
      <c r="Z2" s="150" t="s">
        <v>42</v>
      </c>
      <c r="AA2" s="151"/>
      <c r="AB2" s="150" t="s">
        <v>43</v>
      </c>
      <c r="AC2" s="151"/>
      <c r="AD2" s="76"/>
      <c r="AE2" s="1"/>
      <c r="AF2" s="1"/>
      <c r="AG2" s="1"/>
      <c r="AH2" s="4"/>
      <c r="AI2" s="4"/>
      <c r="AJ2" s="4"/>
    </row>
    <row r="3" spans="1:41" ht="20.100000000000001" customHeight="1" thickTop="1" thickBot="1" x14ac:dyDescent="0.4">
      <c r="A3" s="1"/>
      <c r="B3" s="9"/>
      <c r="C3" s="10"/>
      <c r="D3" s="6"/>
      <c r="E3" s="132"/>
      <c r="F3" s="11" t="s">
        <v>7</v>
      </c>
      <c r="G3" s="12" t="s">
        <v>8</v>
      </c>
      <c r="H3" s="13" t="s">
        <v>22</v>
      </c>
      <c r="I3" s="14" t="s">
        <v>9</v>
      </c>
      <c r="J3" s="14"/>
      <c r="K3" s="14" t="s">
        <v>23</v>
      </c>
      <c r="L3" s="14" t="s">
        <v>24</v>
      </c>
      <c r="M3" s="11" t="s">
        <v>25</v>
      </c>
      <c r="N3" s="15"/>
      <c r="O3" s="124" t="s">
        <v>26</v>
      </c>
      <c r="P3" s="16" t="s">
        <v>27</v>
      </c>
      <c r="Q3" s="16" t="s">
        <v>37</v>
      </c>
      <c r="R3" s="16" t="s">
        <v>28</v>
      </c>
      <c r="S3" s="17" t="s">
        <v>29</v>
      </c>
      <c r="T3" s="18" t="s">
        <v>30</v>
      </c>
      <c r="U3" s="19" t="s">
        <v>20</v>
      </c>
      <c r="V3" s="18" t="s">
        <v>21</v>
      </c>
      <c r="W3" s="102"/>
      <c r="X3" s="149"/>
      <c r="Y3" s="153"/>
      <c r="Z3" s="12" t="s">
        <v>8</v>
      </c>
      <c r="AA3" s="11" t="s">
        <v>25</v>
      </c>
      <c r="AB3" s="120" t="s">
        <v>26</v>
      </c>
      <c r="AC3" s="18" t="s">
        <v>30</v>
      </c>
      <c r="AD3" s="18" t="s">
        <v>21</v>
      </c>
      <c r="AE3" s="18" t="s">
        <v>31</v>
      </c>
      <c r="AF3" s="91" t="s">
        <v>15</v>
      </c>
      <c r="AG3" s="18" t="s">
        <v>39</v>
      </c>
      <c r="AH3" s="4"/>
      <c r="AI3" s="4"/>
      <c r="AJ3" s="4"/>
    </row>
    <row r="4" spans="1:41" ht="20.100000000000001" customHeight="1" thickTop="1" x14ac:dyDescent="0.25">
      <c r="A4" s="1"/>
      <c r="B4" s="20" t="s">
        <v>2</v>
      </c>
      <c r="C4" s="21" t="s">
        <v>48</v>
      </c>
      <c r="D4" s="6"/>
      <c r="E4" s="132"/>
      <c r="F4" s="22">
        <v>0</v>
      </c>
      <c r="G4" s="60">
        <v>87.7</v>
      </c>
      <c r="H4" s="66">
        <v>38.46</v>
      </c>
      <c r="I4" s="61">
        <v>406.52</v>
      </c>
      <c r="J4" s="61"/>
      <c r="K4" s="23"/>
      <c r="L4" s="23"/>
      <c r="M4" s="24"/>
      <c r="N4" s="25"/>
      <c r="O4" s="79">
        <v>3.54</v>
      </c>
      <c r="P4" s="61">
        <v>9.31</v>
      </c>
      <c r="Q4" s="61">
        <v>427.02</v>
      </c>
      <c r="R4" s="26"/>
      <c r="S4" s="26"/>
      <c r="T4" s="23"/>
      <c r="U4" s="82">
        <v>57</v>
      </c>
      <c r="V4" s="71">
        <f>(1-((O4/1000)/G4))*100</f>
        <v>99.995963511972633</v>
      </c>
      <c r="W4" s="103"/>
      <c r="X4" s="135"/>
      <c r="Y4" s="98">
        <v>0</v>
      </c>
      <c r="Z4" s="108">
        <f t="shared" ref="Z4:Z22" si="0">AVERAGE(G4,G28,G52)</f>
        <v>88.399999999999991</v>
      </c>
      <c r="AA4" s="110">
        <v>0</v>
      </c>
      <c r="AB4" s="115">
        <f>AVERAGE(O4,O28,O52)</f>
        <v>3.8433333333333333</v>
      </c>
      <c r="AC4" s="110" t="s">
        <v>49</v>
      </c>
      <c r="AD4" s="100">
        <v>0</v>
      </c>
      <c r="AE4" s="96">
        <v>0</v>
      </c>
      <c r="AF4" s="78">
        <v>0</v>
      </c>
      <c r="AG4" s="77"/>
      <c r="AH4" s="4"/>
      <c r="AI4" s="4"/>
      <c r="AJ4" s="4"/>
    </row>
    <row r="5" spans="1:41" ht="20.100000000000001" customHeight="1" x14ac:dyDescent="0.25">
      <c r="A5" s="1"/>
      <c r="B5" s="20" t="s">
        <v>32</v>
      </c>
      <c r="C5" s="21">
        <v>4.3400000000000001E-3</v>
      </c>
      <c r="D5" s="6"/>
      <c r="E5" s="132"/>
      <c r="F5" s="27">
        <v>10</v>
      </c>
      <c r="G5" s="62">
        <v>88.1</v>
      </c>
      <c r="H5" s="67">
        <v>39.46</v>
      </c>
      <c r="I5" s="63">
        <v>406.5</v>
      </c>
      <c r="J5" s="63"/>
      <c r="K5" s="28">
        <f>(I4-I5)*10</f>
        <v>0.1999999999998181</v>
      </c>
      <c r="L5" s="28">
        <f>K5*$C$11</f>
        <v>4.3279999999960639</v>
      </c>
      <c r="M5" s="29">
        <f>(L5/1000)/((1/6)*$C$5)</f>
        <v>5.9834101382434071</v>
      </c>
      <c r="N5" s="25"/>
      <c r="O5" s="80">
        <v>3.9</v>
      </c>
      <c r="P5" s="63">
        <v>9.86</v>
      </c>
      <c r="Q5" s="63">
        <v>427.02</v>
      </c>
      <c r="R5" s="30">
        <f>-(Q4-Q5)*10</f>
        <v>0</v>
      </c>
      <c r="S5" s="30">
        <f>R5*$C$12</f>
        <v>0</v>
      </c>
      <c r="T5" s="28" t="s">
        <v>49</v>
      </c>
      <c r="U5" s="137"/>
      <c r="V5" s="71">
        <f t="shared" ref="V5:V22" si="1">(1-((O5/1000)/G5))*100</f>
        <v>99.99557321225879</v>
      </c>
      <c r="W5" s="1"/>
      <c r="X5" s="135"/>
      <c r="Y5" s="99">
        <v>10</v>
      </c>
      <c r="Z5" s="109">
        <f t="shared" si="0"/>
        <v>88.7</v>
      </c>
      <c r="AA5" s="111">
        <f t="shared" ref="AA5:AA22" si="2">AVERAGE(M5,M29,M53)</f>
        <v>9.9723502304129408</v>
      </c>
      <c r="AB5" s="115">
        <f>AVERAGE(O5,O29,O53)</f>
        <v>3.97</v>
      </c>
      <c r="AC5" s="111" t="s">
        <v>49</v>
      </c>
      <c r="AD5" s="101">
        <f>AVERAGE(V5,V29,V53)</f>
        <v>99.995524404086268</v>
      </c>
      <c r="AE5" s="96">
        <f t="shared" ref="AE5:AE22" si="3">AVERAGE(S5,S29,S53)</f>
        <v>0</v>
      </c>
      <c r="AF5" s="76">
        <f>AE5+AF4</f>
        <v>0</v>
      </c>
      <c r="AG5" s="57">
        <f>(AF5/$C$23)*100</f>
        <v>0</v>
      </c>
      <c r="AH5" s="4"/>
      <c r="AI5" s="4"/>
      <c r="AJ5" s="4"/>
    </row>
    <row r="6" spans="1:41" ht="20.100000000000001" customHeight="1" x14ac:dyDescent="0.25">
      <c r="A6" s="1"/>
      <c r="B6" s="9"/>
      <c r="C6" s="10"/>
      <c r="D6" s="10"/>
      <c r="E6" s="132"/>
      <c r="F6" s="27">
        <v>20</v>
      </c>
      <c r="G6" s="62">
        <v>88.5</v>
      </c>
      <c r="H6" s="67">
        <v>39.81</v>
      </c>
      <c r="I6" s="63">
        <v>406.46</v>
      </c>
      <c r="J6" s="63"/>
      <c r="K6" s="28">
        <f t="shared" ref="K6:K22" si="4">(I5-I6)*10</f>
        <v>0.40000000000020464</v>
      </c>
      <c r="L6" s="28">
        <f t="shared" ref="L6:L22" si="5">K6*$C$11</f>
        <v>8.656000000004429</v>
      </c>
      <c r="M6" s="29">
        <f t="shared" ref="M6:M22" si="6">(L6/1000)/((1/6)*$C$5)</f>
        <v>11.966820276503819</v>
      </c>
      <c r="N6" s="25"/>
      <c r="O6" s="80">
        <v>3.96</v>
      </c>
      <c r="P6" s="63">
        <v>9.9700000000000006</v>
      </c>
      <c r="Q6" s="63">
        <v>427.02</v>
      </c>
      <c r="R6" s="30">
        <f t="shared" ref="R6:R22" si="7">-(Q5-Q6)*10</f>
        <v>0</v>
      </c>
      <c r="S6" s="30">
        <f>R6*$C$12</f>
        <v>0</v>
      </c>
      <c r="T6" s="28" t="s">
        <v>49</v>
      </c>
      <c r="U6" s="138"/>
      <c r="V6" s="71">
        <f t="shared" si="1"/>
        <v>99.995525423728822</v>
      </c>
      <c r="W6" s="1"/>
      <c r="X6" s="135"/>
      <c r="Y6" s="99">
        <v>20</v>
      </c>
      <c r="Z6" s="109">
        <f t="shared" si="0"/>
        <v>89</v>
      </c>
      <c r="AA6" s="111">
        <f t="shared" si="2"/>
        <v>15.955760368669454</v>
      </c>
      <c r="AB6" s="115">
        <f t="shared" ref="AB6:AB22" si="8">AVERAGE(O6,O30,O54)</f>
        <v>4.0200000000000005</v>
      </c>
      <c r="AC6" s="111" t="s">
        <v>49</v>
      </c>
      <c r="AD6" s="101">
        <f t="shared" ref="AD6:AD22" si="9">AVERAGE(V6,V30,V54)</f>
        <v>99.995483280281505</v>
      </c>
      <c r="AE6" s="96">
        <f t="shared" si="3"/>
        <v>0</v>
      </c>
      <c r="AF6" s="76">
        <f t="shared" ref="AF6:AF22" si="10">AE6+AF5</f>
        <v>0</v>
      </c>
      <c r="AG6" s="57">
        <f t="shared" ref="AG6:AG22" si="11">(AF6/$C$23)*100</f>
        <v>0</v>
      </c>
      <c r="AH6" s="4"/>
      <c r="AI6" s="4"/>
      <c r="AJ6" s="4"/>
    </row>
    <row r="7" spans="1:41" ht="20.100000000000001" customHeight="1" x14ac:dyDescent="0.25">
      <c r="A7" s="1"/>
      <c r="B7" s="20" t="s">
        <v>33</v>
      </c>
      <c r="C7" s="21">
        <v>40</v>
      </c>
      <c r="D7" s="6"/>
      <c r="E7" s="132"/>
      <c r="F7" s="27">
        <v>30</v>
      </c>
      <c r="G7" s="62">
        <v>88.9</v>
      </c>
      <c r="H7" s="67">
        <v>39.97</v>
      </c>
      <c r="I7" s="63">
        <v>406.44</v>
      </c>
      <c r="J7" s="63"/>
      <c r="K7" s="28">
        <f t="shared" si="4"/>
        <v>0.1999999999998181</v>
      </c>
      <c r="L7" s="28">
        <f t="shared" si="5"/>
        <v>4.3279999999960639</v>
      </c>
      <c r="M7" s="29">
        <f t="shared" si="6"/>
        <v>5.9834101382434071</v>
      </c>
      <c r="N7" s="25"/>
      <c r="O7" s="80">
        <v>4</v>
      </c>
      <c r="P7" s="63">
        <v>9.9700000000000006</v>
      </c>
      <c r="Q7" s="63">
        <v>427.02</v>
      </c>
      <c r="R7" s="30">
        <f t="shared" si="7"/>
        <v>0</v>
      </c>
      <c r="S7" s="30">
        <f t="shared" ref="S7:S22" si="12">R7*$C$12</f>
        <v>0</v>
      </c>
      <c r="T7" s="28" t="s">
        <v>49</v>
      </c>
      <c r="U7" s="138"/>
      <c r="V7" s="71">
        <f t="shared" si="1"/>
        <v>99.995500562429697</v>
      </c>
      <c r="W7" s="1"/>
      <c r="X7" s="135"/>
      <c r="Y7" s="99">
        <v>30</v>
      </c>
      <c r="Z7" s="109">
        <f t="shared" si="0"/>
        <v>89.333333333333329</v>
      </c>
      <c r="AA7" s="111">
        <f t="shared" si="2"/>
        <v>10.96958525345466</v>
      </c>
      <c r="AB7" s="115">
        <f t="shared" si="8"/>
        <v>4.05</v>
      </c>
      <c r="AC7" s="111">
        <f t="shared" ref="AC7:AC22" si="13">AVERAGE(T7,T31,T55)</f>
        <v>3.1271889400923771</v>
      </c>
      <c r="AD7" s="101">
        <f t="shared" si="9"/>
        <v>99.995466509969262</v>
      </c>
      <c r="AE7" s="96">
        <f t="shared" si="3"/>
        <v>0.75400000000005096</v>
      </c>
      <c r="AF7" s="76">
        <f t="shared" si="10"/>
        <v>0.75400000000005096</v>
      </c>
      <c r="AG7" s="57">
        <f t="shared" si="11"/>
        <v>3.7700000000002551E-2</v>
      </c>
      <c r="AH7" s="4"/>
      <c r="AI7" s="4"/>
      <c r="AJ7" s="4"/>
    </row>
    <row r="8" spans="1:41" ht="20.100000000000001" customHeight="1" x14ac:dyDescent="0.25">
      <c r="A8" s="1"/>
      <c r="B8" s="20" t="s">
        <v>34</v>
      </c>
      <c r="C8" s="21">
        <v>10</v>
      </c>
      <c r="D8" s="6"/>
      <c r="E8" s="132"/>
      <c r="F8" s="27">
        <v>40</v>
      </c>
      <c r="G8" s="62">
        <v>89</v>
      </c>
      <c r="H8" s="67">
        <v>40.020000000000003</v>
      </c>
      <c r="I8" s="63">
        <v>406.39</v>
      </c>
      <c r="J8" s="63"/>
      <c r="K8" s="28">
        <f t="shared" si="4"/>
        <v>0.50000000000011369</v>
      </c>
      <c r="L8" s="28">
        <f t="shared" si="5"/>
        <v>10.820000000002461</v>
      </c>
      <c r="M8" s="29">
        <f t="shared" si="6"/>
        <v>14.958525345625523</v>
      </c>
      <c r="N8" s="25"/>
      <c r="O8" s="80">
        <v>4.03</v>
      </c>
      <c r="P8" s="63">
        <v>9.9700000000000006</v>
      </c>
      <c r="Q8" s="63">
        <v>427.03</v>
      </c>
      <c r="R8" s="30">
        <f t="shared" si="7"/>
        <v>9.9999999999909051E-2</v>
      </c>
      <c r="S8" s="30">
        <f t="shared" si="12"/>
        <v>2.261999999997943</v>
      </c>
      <c r="T8" s="28">
        <f t="shared" ref="T8:T22" si="14">(S8/1000)/((1/6)*$C$5)</f>
        <v>3.1271889400893222</v>
      </c>
      <c r="U8" s="138"/>
      <c r="V8" s="71">
        <f t="shared" si="1"/>
        <v>99.995471910112357</v>
      </c>
      <c r="W8" s="1"/>
      <c r="X8" s="135"/>
      <c r="Y8" s="99">
        <v>40</v>
      </c>
      <c r="Z8" s="109">
        <f t="shared" si="0"/>
        <v>89.600000000000009</v>
      </c>
      <c r="AA8" s="111">
        <f t="shared" si="2"/>
        <v>14.958525345621448</v>
      </c>
      <c r="AB8" s="115">
        <f t="shared" si="8"/>
        <v>4.083333333333333</v>
      </c>
      <c r="AC8" s="111">
        <f t="shared" si="13"/>
        <v>4.6907834101428705</v>
      </c>
      <c r="AD8" s="101">
        <f t="shared" si="9"/>
        <v>99.995442805780883</v>
      </c>
      <c r="AE8" s="96">
        <f t="shared" si="3"/>
        <v>2.2620000000022285</v>
      </c>
      <c r="AF8" s="76">
        <f t="shared" si="10"/>
        <v>3.0160000000022795</v>
      </c>
      <c r="AG8" s="57">
        <f t="shared" si="11"/>
        <v>0.15080000000011398</v>
      </c>
      <c r="AH8" s="4"/>
      <c r="AI8" s="4"/>
      <c r="AJ8" s="4"/>
    </row>
    <row r="9" spans="1:41" ht="20.100000000000001" customHeight="1" x14ac:dyDescent="0.25">
      <c r="A9" s="1"/>
      <c r="B9" s="20" t="s">
        <v>35</v>
      </c>
      <c r="C9" s="21">
        <f>C7-C8</f>
        <v>30</v>
      </c>
      <c r="D9" s="6"/>
      <c r="E9" s="132"/>
      <c r="F9" s="27">
        <v>50</v>
      </c>
      <c r="G9" s="62">
        <v>89.4</v>
      </c>
      <c r="H9" s="67">
        <v>40.08</v>
      </c>
      <c r="I9" s="63">
        <v>406.32</v>
      </c>
      <c r="J9" s="63"/>
      <c r="K9" s="28">
        <f t="shared" si="4"/>
        <v>0.69999999999993179</v>
      </c>
      <c r="L9" s="28">
        <f t="shared" si="5"/>
        <v>15.147999999998524</v>
      </c>
      <c r="M9" s="29">
        <f t="shared" si="6"/>
        <v>20.941935483868928</v>
      </c>
      <c r="N9" s="25"/>
      <c r="O9" s="80">
        <v>4.1500000000000004</v>
      </c>
      <c r="P9" s="63">
        <v>10.029999999999999</v>
      </c>
      <c r="Q9" s="63">
        <v>427.04</v>
      </c>
      <c r="R9" s="30">
        <f t="shared" si="7"/>
        <v>0.10000000000047748</v>
      </c>
      <c r="S9" s="30">
        <f t="shared" si="12"/>
        <v>2.2620000000108007</v>
      </c>
      <c r="T9" s="28">
        <f t="shared" si="14"/>
        <v>3.1271889401070974</v>
      </c>
      <c r="U9" s="138"/>
      <c r="V9" s="71">
        <f t="shared" si="1"/>
        <v>99.995357941834456</v>
      </c>
      <c r="W9" s="1"/>
      <c r="X9" s="135"/>
      <c r="Y9" s="99">
        <v>50</v>
      </c>
      <c r="Z9" s="109">
        <f t="shared" si="0"/>
        <v>89.933333333333337</v>
      </c>
      <c r="AA9" s="111">
        <f t="shared" si="2"/>
        <v>8.9751152073716636</v>
      </c>
      <c r="AB9" s="115">
        <f t="shared" si="8"/>
        <v>4.16</v>
      </c>
      <c r="AC9" s="111">
        <f t="shared" si="13"/>
        <v>3.1271889401070974</v>
      </c>
      <c r="AD9" s="101">
        <f t="shared" si="9"/>
        <v>99.995374302858338</v>
      </c>
      <c r="AE9" s="96">
        <f t="shared" si="3"/>
        <v>0.75400000000360023</v>
      </c>
      <c r="AF9" s="76">
        <f t="shared" si="10"/>
        <v>3.7700000000058798</v>
      </c>
      <c r="AG9" s="57">
        <f t="shared" si="11"/>
        <v>0.18850000000029399</v>
      </c>
      <c r="AH9" s="4"/>
      <c r="AI9" s="4"/>
      <c r="AJ9" s="4"/>
    </row>
    <row r="10" spans="1:41" ht="20.100000000000001" customHeight="1" x14ac:dyDescent="0.25">
      <c r="A10" s="1"/>
      <c r="B10" s="9"/>
      <c r="C10" s="10"/>
      <c r="D10" s="10"/>
      <c r="E10" s="132"/>
      <c r="F10" s="27">
        <v>60</v>
      </c>
      <c r="G10" s="62">
        <v>89.7</v>
      </c>
      <c r="H10" s="67">
        <v>40.130000000000003</v>
      </c>
      <c r="I10" s="63">
        <v>406.3</v>
      </c>
      <c r="J10" s="63"/>
      <c r="K10" s="28">
        <f t="shared" si="4"/>
        <v>0.1999999999998181</v>
      </c>
      <c r="L10" s="28">
        <f t="shared" si="5"/>
        <v>4.3279999999960639</v>
      </c>
      <c r="M10" s="29">
        <f t="shared" si="6"/>
        <v>5.9834101382434071</v>
      </c>
      <c r="N10" s="25"/>
      <c r="O10" s="80">
        <v>4.17</v>
      </c>
      <c r="P10" s="63">
        <v>10.029999999999999</v>
      </c>
      <c r="Q10" s="63">
        <v>427.08</v>
      </c>
      <c r="R10" s="30">
        <f t="shared" si="7"/>
        <v>0.3999999999996362</v>
      </c>
      <c r="S10" s="30">
        <f t="shared" si="12"/>
        <v>9.047999999991772</v>
      </c>
      <c r="T10" s="28">
        <f t="shared" si="14"/>
        <v>12.508755760357289</v>
      </c>
      <c r="U10" s="138"/>
      <c r="V10" s="71">
        <f t="shared" si="1"/>
        <v>99.995351170568554</v>
      </c>
      <c r="W10" s="1"/>
      <c r="X10" s="135"/>
      <c r="Y10" s="99">
        <v>60</v>
      </c>
      <c r="Z10" s="109">
        <f t="shared" si="0"/>
        <v>90.166666666666671</v>
      </c>
      <c r="AA10" s="111">
        <f t="shared" si="2"/>
        <v>3.988940092163157</v>
      </c>
      <c r="AB10" s="115">
        <f t="shared" si="8"/>
        <v>4.1933333333333334</v>
      </c>
      <c r="AC10" s="111">
        <f t="shared" si="13"/>
        <v>7.296774193542678</v>
      </c>
      <c r="AD10" s="101">
        <f t="shared" si="9"/>
        <v>99.995349357741134</v>
      </c>
      <c r="AE10" s="96">
        <f t="shared" si="3"/>
        <v>5.2779999999958696</v>
      </c>
      <c r="AF10" s="76">
        <f t="shared" si="10"/>
        <v>9.0480000000017498</v>
      </c>
      <c r="AG10" s="57">
        <f t="shared" si="11"/>
        <v>0.45240000000008745</v>
      </c>
      <c r="AH10" s="4"/>
      <c r="AI10" s="4"/>
      <c r="AJ10" s="4"/>
    </row>
    <row r="11" spans="1:41" ht="20.100000000000001" customHeight="1" x14ac:dyDescent="0.25">
      <c r="A11" s="1"/>
      <c r="B11" s="20" t="s">
        <v>0</v>
      </c>
      <c r="C11" s="21">
        <v>21.64</v>
      </c>
      <c r="D11" s="6"/>
      <c r="E11" s="132"/>
      <c r="F11" s="27">
        <v>70</v>
      </c>
      <c r="G11" s="62">
        <v>90</v>
      </c>
      <c r="H11" s="67">
        <v>40.1</v>
      </c>
      <c r="I11" s="63">
        <v>406.25</v>
      </c>
      <c r="J11" s="63"/>
      <c r="K11" s="28">
        <f t="shared" si="4"/>
        <v>0.50000000000011369</v>
      </c>
      <c r="L11" s="28">
        <f t="shared" si="5"/>
        <v>10.820000000002461</v>
      </c>
      <c r="M11" s="29">
        <f t="shared" si="6"/>
        <v>14.958525345625523</v>
      </c>
      <c r="N11" s="25"/>
      <c r="O11" s="80">
        <v>4.1900000000000004</v>
      </c>
      <c r="P11" s="63">
        <v>10.08</v>
      </c>
      <c r="Q11" s="63">
        <v>427.09</v>
      </c>
      <c r="R11" s="30">
        <f t="shared" si="7"/>
        <v>9.9999999999909051E-2</v>
      </c>
      <c r="S11" s="30">
        <f t="shared" si="12"/>
        <v>2.261999999997943</v>
      </c>
      <c r="T11" s="28">
        <f t="shared" si="14"/>
        <v>3.1271889400893222</v>
      </c>
      <c r="U11" s="138"/>
      <c r="V11" s="71">
        <f t="shared" si="1"/>
        <v>99.995344444444441</v>
      </c>
      <c r="W11" s="1"/>
      <c r="X11" s="135"/>
      <c r="Y11" s="99">
        <v>70</v>
      </c>
      <c r="Z11" s="109">
        <f t="shared" si="0"/>
        <v>90.433333333333323</v>
      </c>
      <c r="AA11" s="111">
        <f t="shared" si="2"/>
        <v>8.9751152073744098</v>
      </c>
      <c r="AB11" s="115">
        <f t="shared" si="8"/>
        <v>4.22</v>
      </c>
      <c r="AC11" s="111">
        <f t="shared" si="13"/>
        <v>4.6907834101339834</v>
      </c>
      <c r="AD11" s="101">
        <f t="shared" si="9"/>
        <v>99.995333585832157</v>
      </c>
      <c r="AE11" s="96">
        <f t="shared" si="3"/>
        <v>2.261999999997943</v>
      </c>
      <c r="AF11" s="76">
        <f t="shared" si="10"/>
        <v>11.309999999999693</v>
      </c>
      <c r="AG11" s="57">
        <f t="shared" si="11"/>
        <v>0.56549999999998468</v>
      </c>
      <c r="AH11" s="4"/>
      <c r="AI11" s="4"/>
      <c r="AJ11" s="4"/>
    </row>
    <row r="12" spans="1:41" ht="20.100000000000001" customHeight="1" x14ac:dyDescent="0.25">
      <c r="A12" s="1"/>
      <c r="B12" s="20" t="s">
        <v>1</v>
      </c>
      <c r="C12" s="21">
        <v>22.62</v>
      </c>
      <c r="D12" s="6"/>
      <c r="E12" s="132"/>
      <c r="F12" s="27">
        <v>80</v>
      </c>
      <c r="G12" s="62">
        <v>90.3</v>
      </c>
      <c r="H12" s="67">
        <v>40.130000000000003</v>
      </c>
      <c r="I12" s="63">
        <v>406.2</v>
      </c>
      <c r="J12" s="63"/>
      <c r="K12" s="28">
        <f t="shared" si="4"/>
        <v>0.50000000000011369</v>
      </c>
      <c r="L12" s="28">
        <f t="shared" si="5"/>
        <v>10.820000000002461</v>
      </c>
      <c r="M12" s="29">
        <f t="shared" si="6"/>
        <v>14.958525345625523</v>
      </c>
      <c r="N12" s="25"/>
      <c r="O12" s="80">
        <v>4.25</v>
      </c>
      <c r="P12" s="63">
        <v>10.02</v>
      </c>
      <c r="Q12" s="63">
        <v>427.11</v>
      </c>
      <c r="R12" s="30">
        <f t="shared" si="7"/>
        <v>0.20000000000038654</v>
      </c>
      <c r="S12" s="30">
        <f t="shared" si="12"/>
        <v>4.5240000000087432</v>
      </c>
      <c r="T12" s="28">
        <f t="shared" si="14"/>
        <v>6.2543778801964196</v>
      </c>
      <c r="U12" s="138"/>
      <c r="V12" s="71">
        <f t="shared" si="1"/>
        <v>99.9952934662237</v>
      </c>
      <c r="W12" s="1"/>
      <c r="X12" s="135"/>
      <c r="Y12" s="99">
        <v>80</v>
      </c>
      <c r="Z12" s="109">
        <f t="shared" si="0"/>
        <v>90.766666666666666</v>
      </c>
      <c r="AA12" s="111">
        <f t="shared" si="2"/>
        <v>10.969585253460329</v>
      </c>
      <c r="AB12" s="115">
        <f t="shared" si="8"/>
        <v>4.2566666666666668</v>
      </c>
      <c r="AC12" s="111">
        <f t="shared" si="13"/>
        <v>5.2119815668223879</v>
      </c>
      <c r="AD12" s="101">
        <f t="shared" si="9"/>
        <v>99.995310276287015</v>
      </c>
      <c r="AE12" s="96">
        <f t="shared" si="3"/>
        <v>3.7700000000015272</v>
      </c>
      <c r="AF12" s="76">
        <f t="shared" si="10"/>
        <v>15.08000000000122</v>
      </c>
      <c r="AG12" s="57">
        <f t="shared" si="11"/>
        <v>0.75400000000006107</v>
      </c>
      <c r="AH12" s="4"/>
      <c r="AI12" s="4"/>
      <c r="AJ12" s="4"/>
    </row>
    <row r="13" spans="1:41" ht="20.100000000000001" customHeight="1" x14ac:dyDescent="0.25">
      <c r="A13" s="1"/>
      <c r="B13" s="9"/>
      <c r="C13" s="10"/>
      <c r="D13" s="10"/>
      <c r="E13" s="132"/>
      <c r="F13" s="27">
        <v>90</v>
      </c>
      <c r="G13" s="62">
        <v>90.4</v>
      </c>
      <c r="H13" s="67">
        <v>40.130000000000003</v>
      </c>
      <c r="I13" s="63">
        <v>406.18</v>
      </c>
      <c r="J13" s="63"/>
      <c r="K13" s="28">
        <f t="shared" si="4"/>
        <v>0.1999999999998181</v>
      </c>
      <c r="L13" s="28">
        <f t="shared" si="5"/>
        <v>4.3279999999960639</v>
      </c>
      <c r="M13" s="29">
        <f t="shared" si="6"/>
        <v>5.9834101382434071</v>
      </c>
      <c r="N13" s="25"/>
      <c r="O13" s="80">
        <v>4.28</v>
      </c>
      <c r="P13" s="63">
        <v>10.029999999999999</v>
      </c>
      <c r="Q13" s="63">
        <v>427.14</v>
      </c>
      <c r="R13" s="30">
        <f t="shared" si="7"/>
        <v>0.29999999999972715</v>
      </c>
      <c r="S13" s="30">
        <f t="shared" si="12"/>
        <v>6.7859999999938285</v>
      </c>
      <c r="T13" s="28">
        <f t="shared" si="14"/>
        <v>9.381566820267965</v>
      </c>
      <c r="U13" s="138"/>
      <c r="V13" s="71">
        <f t="shared" si="1"/>
        <v>99.995265486725657</v>
      </c>
      <c r="W13" s="1"/>
      <c r="X13" s="135"/>
      <c r="Y13" s="99">
        <v>90</v>
      </c>
      <c r="Z13" s="109">
        <f t="shared" si="0"/>
        <v>91</v>
      </c>
      <c r="AA13" s="111">
        <f t="shared" si="2"/>
        <v>9.9723502304101945</v>
      </c>
      <c r="AB13" s="115">
        <f t="shared" si="8"/>
        <v>4.29</v>
      </c>
      <c r="AC13" s="111">
        <f t="shared" si="13"/>
        <v>5.2119815668223879</v>
      </c>
      <c r="AD13" s="101">
        <f t="shared" si="9"/>
        <v>99.995285600070588</v>
      </c>
      <c r="AE13" s="96">
        <f t="shared" si="3"/>
        <v>3.7700000000015272</v>
      </c>
      <c r="AF13" s="76">
        <f t="shared" si="10"/>
        <v>18.850000000002748</v>
      </c>
      <c r="AG13" s="57">
        <f t="shared" si="11"/>
        <v>0.94250000000013734</v>
      </c>
      <c r="AH13" s="4"/>
      <c r="AI13" s="4"/>
      <c r="AJ13" s="4"/>
    </row>
    <row r="14" spans="1:41" ht="20.100000000000001" customHeight="1" x14ac:dyDescent="0.25">
      <c r="A14" s="1"/>
      <c r="B14" s="20" t="s">
        <v>3</v>
      </c>
      <c r="C14" s="21">
        <v>600</v>
      </c>
      <c r="D14" s="6"/>
      <c r="E14" s="132"/>
      <c r="F14" s="27">
        <v>100</v>
      </c>
      <c r="G14" s="62">
        <v>90.9</v>
      </c>
      <c r="H14" s="67">
        <v>40.200000000000003</v>
      </c>
      <c r="I14" s="63">
        <v>406.12</v>
      </c>
      <c r="J14" s="63"/>
      <c r="K14" s="28">
        <f t="shared" si="4"/>
        <v>0.60000000000002274</v>
      </c>
      <c r="L14" s="28">
        <f t="shared" si="5"/>
        <v>12.984000000000492</v>
      </c>
      <c r="M14" s="29">
        <f t="shared" si="6"/>
        <v>17.950230414747224</v>
      </c>
      <c r="N14" s="25"/>
      <c r="O14" s="80">
        <v>4.3</v>
      </c>
      <c r="P14" s="63">
        <v>9.98</v>
      </c>
      <c r="Q14" s="63">
        <v>427.18</v>
      </c>
      <c r="R14" s="30">
        <f t="shared" si="7"/>
        <v>0.40000000000020464</v>
      </c>
      <c r="S14" s="30">
        <f t="shared" si="12"/>
        <v>9.0480000000046292</v>
      </c>
      <c r="T14" s="28">
        <f t="shared" si="14"/>
        <v>12.508755760375063</v>
      </c>
      <c r="U14" s="138"/>
      <c r="V14" s="71">
        <f t="shared" si="1"/>
        <v>99.995269526952697</v>
      </c>
      <c r="W14" s="1"/>
      <c r="X14" s="135"/>
      <c r="Y14" s="99">
        <v>100</v>
      </c>
      <c r="Z14" s="109">
        <f t="shared" si="0"/>
        <v>91.3</v>
      </c>
      <c r="AA14" s="111">
        <f t="shared" si="2"/>
        <v>15.955760368665912</v>
      </c>
      <c r="AB14" s="115">
        <f t="shared" si="8"/>
        <v>4.3133333333333335</v>
      </c>
      <c r="AC14" s="111">
        <f t="shared" si="13"/>
        <v>7.8179723502321927</v>
      </c>
      <c r="AD14" s="101">
        <f t="shared" si="9"/>
        <v>99.995275634667294</v>
      </c>
      <c r="AE14" s="96">
        <f t="shared" si="3"/>
        <v>3.7700000000008576</v>
      </c>
      <c r="AF14" s="76">
        <f t="shared" si="10"/>
        <v>22.620000000003607</v>
      </c>
      <c r="AG14" s="57">
        <f t="shared" si="11"/>
        <v>1.1310000000001803</v>
      </c>
      <c r="AH14" s="4"/>
      <c r="AI14" s="4"/>
      <c r="AJ14" s="4"/>
    </row>
    <row r="15" spans="1:41" ht="20.100000000000001" customHeight="1" x14ac:dyDescent="0.25">
      <c r="A15" s="1"/>
      <c r="B15" s="20" t="s">
        <v>4</v>
      </c>
      <c r="C15" s="21">
        <v>600</v>
      </c>
      <c r="D15" s="6"/>
      <c r="E15" s="132"/>
      <c r="F15" s="27">
        <v>110</v>
      </c>
      <c r="G15" s="62">
        <v>91.1</v>
      </c>
      <c r="H15" s="67">
        <v>40.200000000000003</v>
      </c>
      <c r="I15" s="63">
        <v>406.09</v>
      </c>
      <c r="J15" s="63"/>
      <c r="K15" s="28">
        <f t="shared" si="4"/>
        <v>0.30000000000029559</v>
      </c>
      <c r="L15" s="28">
        <f t="shared" si="5"/>
        <v>6.4920000000063967</v>
      </c>
      <c r="M15" s="29">
        <f t="shared" si="6"/>
        <v>8.9751152073821157</v>
      </c>
      <c r="N15" s="25"/>
      <c r="O15" s="80">
        <v>4.3600000000000003</v>
      </c>
      <c r="P15" s="63">
        <v>10.02</v>
      </c>
      <c r="Q15" s="63">
        <v>427.2</v>
      </c>
      <c r="R15" s="30">
        <f t="shared" si="7"/>
        <v>0.1999999999998181</v>
      </c>
      <c r="S15" s="30">
        <f t="shared" si="12"/>
        <v>4.523999999995886</v>
      </c>
      <c r="T15" s="28">
        <f t="shared" si="14"/>
        <v>6.2543778801786445</v>
      </c>
      <c r="U15" s="138"/>
      <c r="V15" s="71">
        <f t="shared" si="1"/>
        <v>99.995214050493956</v>
      </c>
      <c r="W15" s="1"/>
      <c r="X15" s="135"/>
      <c r="Y15" s="99">
        <v>110</v>
      </c>
      <c r="Z15" s="109">
        <f t="shared" si="0"/>
        <v>91.633333333333326</v>
      </c>
      <c r="AA15" s="111">
        <f t="shared" si="2"/>
        <v>10.969585253458467</v>
      </c>
      <c r="AB15" s="115">
        <f t="shared" si="8"/>
        <v>4.3533333333333335</v>
      </c>
      <c r="AC15" s="111">
        <f t="shared" si="13"/>
        <v>8.3391705069117101</v>
      </c>
      <c r="AD15" s="101">
        <f t="shared" si="9"/>
        <v>99.995249079580674</v>
      </c>
      <c r="AE15" s="96">
        <f t="shared" si="3"/>
        <v>6.0319999999994698</v>
      </c>
      <c r="AF15" s="76">
        <f t="shared" si="10"/>
        <v>28.652000000003078</v>
      </c>
      <c r="AG15" s="57">
        <f t="shared" si="11"/>
        <v>1.432600000000154</v>
      </c>
      <c r="AH15" s="4"/>
      <c r="AI15" s="4"/>
      <c r="AJ15" s="4"/>
    </row>
    <row r="16" spans="1:41" ht="20.100000000000001" customHeight="1" x14ac:dyDescent="0.25">
      <c r="A16" s="1"/>
      <c r="B16" s="9"/>
      <c r="C16" s="10"/>
      <c r="D16" s="10"/>
      <c r="E16" s="132"/>
      <c r="F16" s="27">
        <v>120</v>
      </c>
      <c r="G16" s="62">
        <v>91.5</v>
      </c>
      <c r="H16" s="67">
        <v>40.04</v>
      </c>
      <c r="I16" s="63">
        <v>406.05</v>
      </c>
      <c r="J16" s="63"/>
      <c r="K16" s="28">
        <f t="shared" si="4"/>
        <v>0.3999999999996362</v>
      </c>
      <c r="L16" s="28">
        <f t="shared" si="5"/>
        <v>8.6559999999921278</v>
      </c>
      <c r="M16" s="29">
        <f t="shared" si="6"/>
        <v>11.966820276486814</v>
      </c>
      <c r="N16" s="25"/>
      <c r="O16" s="80">
        <v>4.3899999999999997</v>
      </c>
      <c r="P16" s="63">
        <v>10.130000000000001</v>
      </c>
      <c r="Q16" s="63">
        <v>427.22</v>
      </c>
      <c r="R16" s="30">
        <f t="shared" si="7"/>
        <v>0.20000000000038654</v>
      </c>
      <c r="S16" s="30">
        <f t="shared" si="12"/>
        <v>4.5240000000087432</v>
      </c>
      <c r="T16" s="28">
        <f t="shared" si="14"/>
        <v>6.2543778801964196</v>
      </c>
      <c r="U16" s="138"/>
      <c r="V16" s="71">
        <f t="shared" si="1"/>
        <v>99.995202185792351</v>
      </c>
      <c r="W16" s="1"/>
      <c r="X16" s="135"/>
      <c r="Y16" s="99">
        <v>120</v>
      </c>
      <c r="Z16" s="109">
        <f t="shared" si="0"/>
        <v>92.033333333333346</v>
      </c>
      <c r="AA16" s="111">
        <f t="shared" si="2"/>
        <v>5.9834101382434071</v>
      </c>
      <c r="AB16" s="115">
        <f t="shared" si="8"/>
        <v>4.3866666666666667</v>
      </c>
      <c r="AC16" s="111">
        <f t="shared" si="13"/>
        <v>6.2543778801855874</v>
      </c>
      <c r="AD16" s="101">
        <f t="shared" si="9"/>
        <v>99.995233520218974</v>
      </c>
      <c r="AE16" s="96">
        <f t="shared" si="3"/>
        <v>4.5240000000009077</v>
      </c>
      <c r="AF16" s="76">
        <f t="shared" si="10"/>
        <v>33.176000000003988</v>
      </c>
      <c r="AG16" s="57">
        <f t="shared" si="11"/>
        <v>1.6588000000001994</v>
      </c>
      <c r="AH16" s="4"/>
      <c r="AI16" s="4"/>
      <c r="AJ16" s="4"/>
    </row>
    <row r="17" spans="1:41" ht="20.100000000000001" customHeight="1" x14ac:dyDescent="0.25">
      <c r="A17" s="1"/>
      <c r="B17" s="20" t="s">
        <v>5</v>
      </c>
      <c r="C17" s="21">
        <v>130</v>
      </c>
      <c r="D17" s="6"/>
      <c r="E17" s="132"/>
      <c r="F17" s="27">
        <v>130</v>
      </c>
      <c r="G17" s="62">
        <v>91.7</v>
      </c>
      <c r="H17" s="67">
        <v>40.08</v>
      </c>
      <c r="I17" s="63">
        <v>406.05</v>
      </c>
      <c r="J17" s="63"/>
      <c r="K17" s="28">
        <f t="shared" si="4"/>
        <v>0</v>
      </c>
      <c r="L17" s="28">
        <f t="shared" si="5"/>
        <v>0</v>
      </c>
      <c r="M17" s="29">
        <f t="shared" si="6"/>
        <v>0</v>
      </c>
      <c r="N17" s="25"/>
      <c r="O17" s="80">
        <v>4.41</v>
      </c>
      <c r="P17" s="63">
        <v>10.08</v>
      </c>
      <c r="Q17" s="63">
        <v>427.25</v>
      </c>
      <c r="R17" s="30">
        <f t="shared" si="7"/>
        <v>0.29999999999972715</v>
      </c>
      <c r="S17" s="30">
        <f t="shared" si="12"/>
        <v>6.7859999999938285</v>
      </c>
      <c r="T17" s="28">
        <f t="shared" si="14"/>
        <v>9.381566820267965</v>
      </c>
      <c r="U17" s="138"/>
      <c r="V17" s="71">
        <f t="shared" si="1"/>
        <v>99.995190839694658</v>
      </c>
      <c r="W17" s="1"/>
      <c r="X17" s="135"/>
      <c r="Y17" s="99">
        <v>130</v>
      </c>
      <c r="Z17" s="109">
        <f t="shared" si="0"/>
        <v>92.266666666666652</v>
      </c>
      <c r="AA17" s="111">
        <f t="shared" si="2"/>
        <v>8.9751152073752962</v>
      </c>
      <c r="AB17" s="115">
        <f t="shared" si="8"/>
        <v>4.41</v>
      </c>
      <c r="AC17" s="111">
        <f t="shared" si="13"/>
        <v>8.3391705069086548</v>
      </c>
      <c r="AD17" s="101">
        <f t="shared" si="9"/>
        <v>99.995220319397774</v>
      </c>
      <c r="AE17" s="96">
        <f t="shared" si="3"/>
        <v>6.0319999999972609</v>
      </c>
      <c r="AF17" s="76">
        <f t="shared" si="10"/>
        <v>39.208000000001249</v>
      </c>
      <c r="AG17" s="57">
        <f t="shared" si="11"/>
        <v>1.9604000000000625</v>
      </c>
      <c r="AH17" s="4"/>
      <c r="AI17" s="4"/>
      <c r="AJ17" s="4"/>
    </row>
    <row r="18" spans="1:41" ht="20.100000000000001" customHeight="1" x14ac:dyDescent="0.25">
      <c r="A18" s="1"/>
      <c r="B18" s="20" t="s">
        <v>6</v>
      </c>
      <c r="C18" s="21">
        <v>130</v>
      </c>
      <c r="D18" s="6"/>
      <c r="E18" s="132"/>
      <c r="F18" s="27">
        <v>140</v>
      </c>
      <c r="G18" s="62">
        <v>92.2</v>
      </c>
      <c r="H18" s="67">
        <v>40.04</v>
      </c>
      <c r="I18" s="63">
        <v>405.99</v>
      </c>
      <c r="J18" s="63"/>
      <c r="K18" s="28">
        <f t="shared" si="4"/>
        <v>0.60000000000002274</v>
      </c>
      <c r="L18" s="28">
        <f t="shared" si="5"/>
        <v>12.984000000000492</v>
      </c>
      <c r="M18" s="29">
        <f t="shared" si="6"/>
        <v>17.950230414747224</v>
      </c>
      <c r="N18" s="25"/>
      <c r="O18" s="80">
        <v>4.46</v>
      </c>
      <c r="P18" s="63">
        <v>10.02</v>
      </c>
      <c r="Q18" s="63">
        <v>427.28</v>
      </c>
      <c r="R18" s="30">
        <f t="shared" si="7"/>
        <v>0.29999999999972715</v>
      </c>
      <c r="S18" s="30">
        <f t="shared" si="12"/>
        <v>6.7859999999938285</v>
      </c>
      <c r="T18" s="28">
        <f t="shared" si="14"/>
        <v>9.381566820267965</v>
      </c>
      <c r="U18" s="138"/>
      <c r="V18" s="71">
        <f t="shared" si="1"/>
        <v>99.995162689804772</v>
      </c>
      <c r="W18" s="1"/>
      <c r="X18" s="135"/>
      <c r="Y18" s="99">
        <v>140</v>
      </c>
      <c r="Z18" s="109">
        <f t="shared" si="0"/>
        <v>92.600000000000009</v>
      </c>
      <c r="AA18" s="111">
        <f t="shared" si="2"/>
        <v>13.961290322579019</v>
      </c>
      <c r="AB18" s="115">
        <f t="shared" si="8"/>
        <v>4.4466666666666663</v>
      </c>
      <c r="AC18" s="111">
        <f t="shared" si="13"/>
        <v>8.3391705069135611</v>
      </c>
      <c r="AD18" s="101">
        <f t="shared" si="9"/>
        <v>99.995197908095847</v>
      </c>
      <c r="AE18" s="96">
        <f t="shared" si="3"/>
        <v>6.0320000000008092</v>
      </c>
      <c r="AF18" s="76">
        <f t="shared" si="10"/>
        <v>45.240000000002055</v>
      </c>
      <c r="AG18" s="57">
        <f t="shared" si="11"/>
        <v>2.2620000000001026</v>
      </c>
      <c r="AH18" s="4"/>
      <c r="AI18" s="4"/>
      <c r="AJ18" s="4"/>
    </row>
    <row r="19" spans="1:41" ht="20.100000000000001" customHeight="1" x14ac:dyDescent="0.2">
      <c r="A19" s="1"/>
      <c r="B19" s="1"/>
      <c r="C19" s="1"/>
      <c r="D19" s="1"/>
      <c r="E19" s="132"/>
      <c r="F19" s="27">
        <v>150</v>
      </c>
      <c r="G19" s="62">
        <v>92.3</v>
      </c>
      <c r="H19" s="67">
        <v>40.03</v>
      </c>
      <c r="I19" s="63">
        <v>405.99</v>
      </c>
      <c r="J19" s="63"/>
      <c r="K19" s="28">
        <f t="shared" si="4"/>
        <v>0</v>
      </c>
      <c r="L19" s="28">
        <f t="shared" si="5"/>
        <v>0</v>
      </c>
      <c r="M19" s="29">
        <f t="shared" si="6"/>
        <v>0</v>
      </c>
      <c r="N19" s="25"/>
      <c r="O19" s="80">
        <v>4.4800000000000004</v>
      </c>
      <c r="P19" s="63">
        <v>10.050000000000001</v>
      </c>
      <c r="Q19" s="63">
        <v>427.31</v>
      </c>
      <c r="R19" s="30">
        <f t="shared" si="7"/>
        <v>0.30000000000029559</v>
      </c>
      <c r="S19" s="30">
        <f t="shared" si="12"/>
        <v>6.7860000000066867</v>
      </c>
      <c r="T19" s="28">
        <f t="shared" si="14"/>
        <v>9.3815668202857427</v>
      </c>
      <c r="U19" s="138"/>
      <c r="V19" s="71">
        <f t="shared" si="1"/>
        <v>99.995146262188513</v>
      </c>
      <c r="W19" s="1"/>
      <c r="X19" s="135"/>
      <c r="Y19" s="99">
        <v>150</v>
      </c>
      <c r="Z19" s="109">
        <f t="shared" si="0"/>
        <v>92.899999999999991</v>
      </c>
      <c r="AA19" s="111">
        <f t="shared" si="2"/>
        <v>8.9751152073744098</v>
      </c>
      <c r="AB19" s="115">
        <f t="shared" si="8"/>
        <v>4.4733333333333336</v>
      </c>
      <c r="AC19" s="111">
        <f t="shared" si="13"/>
        <v>10.423963133638944</v>
      </c>
      <c r="AD19" s="101">
        <f t="shared" si="9"/>
        <v>99.995184662503462</v>
      </c>
      <c r="AE19" s="96">
        <f t="shared" si="3"/>
        <v>7.5399999999988347</v>
      </c>
      <c r="AF19" s="76">
        <f t="shared" si="10"/>
        <v>52.780000000000889</v>
      </c>
      <c r="AG19" s="57">
        <f t="shared" si="11"/>
        <v>2.6390000000000446</v>
      </c>
      <c r="AH19" s="4"/>
      <c r="AI19" s="4"/>
      <c r="AJ19" s="4"/>
    </row>
    <row r="20" spans="1:41" ht="20.100000000000001" customHeight="1" x14ac:dyDescent="0.2">
      <c r="A20" s="1"/>
      <c r="B20" s="130" t="s">
        <v>19</v>
      </c>
      <c r="C20" s="59" t="s">
        <v>18</v>
      </c>
      <c r="D20" s="1"/>
      <c r="E20" s="132"/>
      <c r="F20" s="27">
        <v>160</v>
      </c>
      <c r="G20" s="62">
        <v>92.7</v>
      </c>
      <c r="H20" s="67">
        <v>40.08</v>
      </c>
      <c r="I20" s="63">
        <v>405.94</v>
      </c>
      <c r="J20" s="63"/>
      <c r="K20" s="28">
        <f t="shared" si="4"/>
        <v>0.50000000000011369</v>
      </c>
      <c r="L20" s="28">
        <f t="shared" si="5"/>
        <v>10.820000000002461</v>
      </c>
      <c r="M20" s="29">
        <f t="shared" si="6"/>
        <v>14.958525345625523</v>
      </c>
      <c r="N20" s="25"/>
      <c r="O20" s="80">
        <v>4.5</v>
      </c>
      <c r="P20" s="63">
        <v>10.08</v>
      </c>
      <c r="Q20" s="63">
        <v>427.34</v>
      </c>
      <c r="R20" s="30">
        <f t="shared" si="7"/>
        <v>0.29999999999972715</v>
      </c>
      <c r="S20" s="30">
        <f t="shared" si="12"/>
        <v>6.7859999999938285</v>
      </c>
      <c r="T20" s="28">
        <f t="shared" si="14"/>
        <v>9.381566820267965</v>
      </c>
      <c r="U20" s="138"/>
      <c r="V20" s="71">
        <f t="shared" si="1"/>
        <v>99.995145631067956</v>
      </c>
      <c r="W20" s="1"/>
      <c r="X20" s="135"/>
      <c r="Y20" s="99">
        <v>160</v>
      </c>
      <c r="Z20" s="109">
        <f t="shared" si="0"/>
        <v>93.2</v>
      </c>
      <c r="AA20" s="111">
        <f t="shared" si="2"/>
        <v>12.964055299540577</v>
      </c>
      <c r="AB20" s="115">
        <f t="shared" si="8"/>
        <v>4.5</v>
      </c>
      <c r="AC20" s="111">
        <f t="shared" si="13"/>
        <v>5.2119815668223879</v>
      </c>
      <c r="AD20" s="101">
        <f t="shared" si="9"/>
        <v>99.995171637583283</v>
      </c>
      <c r="AE20" s="96">
        <f t="shared" si="3"/>
        <v>3.7700000000015272</v>
      </c>
      <c r="AF20" s="76">
        <f t="shared" si="10"/>
        <v>56.550000000002413</v>
      </c>
      <c r="AG20" s="57">
        <f t="shared" si="11"/>
        <v>2.8275000000001205</v>
      </c>
      <c r="AH20" s="4"/>
      <c r="AI20" s="4"/>
      <c r="AJ20" s="4"/>
    </row>
    <row r="21" spans="1:41" ht="20.100000000000001" customHeight="1" x14ac:dyDescent="0.2">
      <c r="A21" s="1"/>
      <c r="B21" s="130"/>
      <c r="C21" s="59">
        <v>65</v>
      </c>
      <c r="D21" s="1"/>
      <c r="E21" s="132"/>
      <c r="F21" s="27">
        <v>170</v>
      </c>
      <c r="G21" s="62">
        <v>93</v>
      </c>
      <c r="H21" s="67">
        <v>40.14</v>
      </c>
      <c r="I21" s="63">
        <v>405.89</v>
      </c>
      <c r="J21" s="63"/>
      <c r="K21" s="28">
        <f t="shared" si="4"/>
        <v>0.50000000000011369</v>
      </c>
      <c r="L21" s="28">
        <f t="shared" si="5"/>
        <v>10.820000000002461</v>
      </c>
      <c r="M21" s="29">
        <f t="shared" si="6"/>
        <v>14.958525345625523</v>
      </c>
      <c r="N21" s="25"/>
      <c r="O21" s="80">
        <v>4.53</v>
      </c>
      <c r="P21" s="63">
        <v>10.14</v>
      </c>
      <c r="Q21" s="63">
        <v>427.38</v>
      </c>
      <c r="R21" s="30">
        <f t="shared" si="7"/>
        <v>0.40000000000020464</v>
      </c>
      <c r="S21" s="30">
        <f t="shared" si="12"/>
        <v>9.0480000000046292</v>
      </c>
      <c r="T21" s="28">
        <f t="shared" si="14"/>
        <v>12.508755760375063</v>
      </c>
      <c r="U21" s="139"/>
      <c r="V21" s="71">
        <f t="shared" si="1"/>
        <v>99.995129032258063</v>
      </c>
      <c r="W21" s="1"/>
      <c r="X21" s="135"/>
      <c r="Y21" s="99">
        <v>170</v>
      </c>
      <c r="Z21" s="109">
        <f t="shared" si="0"/>
        <v>93.5</v>
      </c>
      <c r="AA21" s="111">
        <f t="shared" si="2"/>
        <v>9.9723502304140936</v>
      </c>
      <c r="AB21" s="115">
        <f t="shared" si="8"/>
        <v>4.5366666666666671</v>
      </c>
      <c r="AC21" s="111">
        <f t="shared" si="13"/>
        <v>17.72073732719014</v>
      </c>
      <c r="AD21" s="101">
        <f t="shared" si="9"/>
        <v>99.995147940441782</v>
      </c>
      <c r="AE21" s="96">
        <f t="shared" si="3"/>
        <v>12.818000000000866</v>
      </c>
      <c r="AF21" s="76">
        <f t="shared" si="10"/>
        <v>69.368000000003278</v>
      </c>
      <c r="AG21" s="57">
        <f t="shared" si="11"/>
        <v>3.4684000000001638</v>
      </c>
      <c r="AH21" s="4"/>
      <c r="AI21" s="4"/>
      <c r="AJ21" s="4"/>
    </row>
    <row r="22" spans="1:41" ht="20.100000000000001" customHeight="1" thickBot="1" x14ac:dyDescent="0.25">
      <c r="A22" s="1"/>
      <c r="B22" s="1"/>
      <c r="C22" s="1"/>
      <c r="D22" s="1"/>
      <c r="E22" s="133"/>
      <c r="F22" s="31">
        <v>180</v>
      </c>
      <c r="G22" s="64">
        <v>93.3</v>
      </c>
      <c r="H22" s="68">
        <v>40.08</v>
      </c>
      <c r="I22" s="65">
        <v>405.89</v>
      </c>
      <c r="J22" s="65"/>
      <c r="K22" s="32">
        <f t="shared" si="4"/>
        <v>0</v>
      </c>
      <c r="L22" s="32">
        <f t="shared" si="5"/>
        <v>0</v>
      </c>
      <c r="M22" s="33">
        <f t="shared" si="6"/>
        <v>0</v>
      </c>
      <c r="N22" s="25"/>
      <c r="O22" s="81">
        <v>4.58</v>
      </c>
      <c r="P22" s="65">
        <v>10.19</v>
      </c>
      <c r="Q22" s="65">
        <v>427.39</v>
      </c>
      <c r="R22" s="34">
        <f t="shared" si="7"/>
        <v>9.9999999999909051E-2</v>
      </c>
      <c r="S22" s="34">
        <f t="shared" si="12"/>
        <v>2.261999999997943</v>
      </c>
      <c r="T22" s="32">
        <f t="shared" si="14"/>
        <v>3.1271889400893222</v>
      </c>
      <c r="U22" s="83">
        <v>60.6</v>
      </c>
      <c r="V22" s="71">
        <f t="shared" si="1"/>
        <v>99.995091103965706</v>
      </c>
      <c r="W22" s="1"/>
      <c r="X22" s="135"/>
      <c r="Y22" s="116">
        <v>180</v>
      </c>
      <c r="Z22" s="119">
        <f t="shared" si="0"/>
        <v>93.766666666666652</v>
      </c>
      <c r="AA22" s="112">
        <f t="shared" si="2"/>
        <v>1.9944700460868043</v>
      </c>
      <c r="AB22" s="115">
        <f t="shared" si="8"/>
        <v>4.5933333333333337</v>
      </c>
      <c r="AC22" s="113">
        <f t="shared" si="13"/>
        <v>8.3391705069095803</v>
      </c>
      <c r="AD22" s="114">
        <f t="shared" si="9"/>
        <v>99.995101361731201</v>
      </c>
      <c r="AE22" s="97">
        <f t="shared" si="3"/>
        <v>6.0319999999979288</v>
      </c>
      <c r="AF22" s="69">
        <f t="shared" si="10"/>
        <v>75.400000000001199</v>
      </c>
      <c r="AG22" s="58">
        <f t="shared" si="11"/>
        <v>3.77000000000006</v>
      </c>
      <c r="AH22" s="4"/>
      <c r="AI22" s="4"/>
      <c r="AJ22" s="4"/>
    </row>
    <row r="23" spans="1:41" ht="20.100000000000001" customHeight="1" thickTop="1" thickBot="1" x14ac:dyDescent="0.3">
      <c r="A23" s="1"/>
      <c r="B23" s="75" t="s">
        <v>38</v>
      </c>
      <c r="C23" s="59">
        <v>2000</v>
      </c>
      <c r="D23" s="2"/>
      <c r="E23" s="35"/>
      <c r="F23" s="25"/>
      <c r="G23" s="25"/>
      <c r="H23" s="25"/>
      <c r="I23" s="25"/>
      <c r="J23" s="25"/>
      <c r="K23" s="25"/>
      <c r="L23" s="36" t="s">
        <v>17</v>
      </c>
      <c r="M23" s="37">
        <f>AVERAGE(M5:M22)</f>
        <v>10.470967741935409</v>
      </c>
      <c r="N23" s="25"/>
      <c r="O23" s="25"/>
      <c r="P23" s="25"/>
      <c r="Q23" s="25"/>
      <c r="R23" s="25"/>
      <c r="S23" s="37" t="s">
        <v>17</v>
      </c>
      <c r="T23" s="37">
        <f>AVERAGE(T5:T22)</f>
        <v>7.7137327188941045</v>
      </c>
      <c r="U23" s="86"/>
      <c r="V23" s="126">
        <f>AVERAGE(V5:V22)</f>
        <v>99.995290830030285</v>
      </c>
      <c r="W23" s="1"/>
      <c r="X23" s="147" t="s">
        <v>41</v>
      </c>
      <c r="Y23" s="147"/>
      <c r="Z23" s="117"/>
      <c r="AA23" s="118">
        <f>AVERAGE(AA5:AA22)</f>
        <v>10.249359959037569</v>
      </c>
      <c r="AB23" s="117"/>
      <c r="AC23" s="118">
        <f>AVERAGE(AC5:AC22)</f>
        <v>7.1338997695860344</v>
      </c>
      <c r="AD23" s="118">
        <f>AVERAGE(AD5:AD22)</f>
        <v>99.995297343729305</v>
      </c>
      <c r="AE23" s="117"/>
      <c r="AF23" s="117"/>
      <c r="AG23" s="117"/>
      <c r="AH23" s="104"/>
      <c r="AI23" s="4"/>
      <c r="AJ23" s="4"/>
    </row>
    <row r="24" spans="1:41" ht="20.100000000000001" customHeight="1" thickTop="1" thickBot="1" x14ac:dyDescent="0.25">
      <c r="A24" s="1"/>
      <c r="B24" s="1"/>
      <c r="C24" s="1"/>
      <c r="D24" s="1"/>
      <c r="E24" s="35"/>
      <c r="F24" s="25"/>
      <c r="G24" s="25"/>
      <c r="H24" s="25"/>
      <c r="I24" s="25"/>
      <c r="J24" s="25"/>
      <c r="K24" s="25"/>
      <c r="L24" s="36" t="s">
        <v>16</v>
      </c>
      <c r="M24" s="37">
        <f>((I4-I22)*$C$11/100)/(180/60)/$C$5</f>
        <v>10.470967741935409</v>
      </c>
      <c r="N24" s="25"/>
      <c r="O24" s="25"/>
      <c r="P24" s="25"/>
      <c r="Q24" s="25"/>
      <c r="R24" s="25"/>
      <c r="S24" s="39" t="s">
        <v>16</v>
      </c>
      <c r="T24" s="39">
        <f>-((Q4-Q22)*$C$12/100)/(180/60)/$C$5</f>
        <v>6.42811059907842</v>
      </c>
      <c r="U24" s="25"/>
      <c r="V24" s="72"/>
      <c r="W24" s="1"/>
      <c r="X24" s="1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1"/>
      <c r="AK24" s="1"/>
      <c r="AL24" s="4"/>
      <c r="AM24" s="4"/>
      <c r="AN24" s="4"/>
      <c r="AO24" s="4"/>
    </row>
    <row r="25" spans="1:41" ht="15.75" thickTop="1" thickBot="1" x14ac:dyDescent="0.25">
      <c r="A25" s="1"/>
      <c r="B25" s="1"/>
      <c r="C25" s="1"/>
      <c r="D25" s="1"/>
      <c r="E25" s="1"/>
      <c r="F25" s="40"/>
      <c r="G25" s="40"/>
      <c r="H25" s="40"/>
      <c r="I25" s="40"/>
      <c r="J25" s="40"/>
      <c r="K25" s="40"/>
      <c r="L25" s="40"/>
      <c r="M25" s="40"/>
      <c r="N25" s="41"/>
      <c r="O25" s="40"/>
      <c r="P25" s="40"/>
      <c r="Q25" s="40"/>
      <c r="R25" s="40"/>
      <c r="S25" s="40"/>
      <c r="T25" s="42"/>
      <c r="U25" s="42"/>
      <c r="V25" s="6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"/>
      <c r="AM25" s="4"/>
      <c r="AN25" s="4"/>
      <c r="AO25" s="4"/>
    </row>
    <row r="26" spans="1:41" ht="19.5" thickTop="1" thickBot="1" x14ac:dyDescent="0.25">
      <c r="A26" s="1"/>
      <c r="B26" s="1"/>
      <c r="C26" s="1"/>
      <c r="D26" s="1"/>
      <c r="E26" s="134" t="s">
        <v>13</v>
      </c>
      <c r="F26" s="43"/>
      <c r="G26" s="143" t="s">
        <v>10</v>
      </c>
      <c r="H26" s="144"/>
      <c r="I26" s="144"/>
      <c r="J26" s="144"/>
      <c r="K26" s="144"/>
      <c r="L26" s="144"/>
      <c r="M26" s="145"/>
      <c r="N26" s="35"/>
      <c r="O26" s="143" t="s">
        <v>11</v>
      </c>
      <c r="P26" s="144"/>
      <c r="Q26" s="144"/>
      <c r="R26" s="144"/>
      <c r="S26" s="144"/>
      <c r="T26" s="144"/>
      <c r="U26" s="144"/>
      <c r="V26" s="145"/>
      <c r="W26" s="1"/>
      <c r="AH26" s="1"/>
      <c r="AI26" s="1"/>
      <c r="AJ26" s="1"/>
      <c r="AK26" s="1"/>
      <c r="AL26" s="4"/>
      <c r="AM26" s="4"/>
      <c r="AN26" s="4"/>
      <c r="AO26" s="4"/>
    </row>
    <row r="27" spans="1:41" ht="21.75" thickTop="1" thickBot="1" x14ac:dyDescent="0.4">
      <c r="A27" s="1"/>
      <c r="B27" s="1"/>
      <c r="C27" s="1"/>
      <c r="D27" s="1"/>
      <c r="E27" s="135"/>
      <c r="F27" s="39" t="s">
        <v>7</v>
      </c>
      <c r="G27" s="44" t="s">
        <v>8</v>
      </c>
      <c r="H27" s="45" t="s">
        <v>22</v>
      </c>
      <c r="I27" s="46" t="s">
        <v>9</v>
      </c>
      <c r="J27" s="46"/>
      <c r="K27" s="46" t="s">
        <v>23</v>
      </c>
      <c r="L27" s="46" t="s">
        <v>24</v>
      </c>
      <c r="M27" s="39" t="s">
        <v>25</v>
      </c>
      <c r="N27" s="47"/>
      <c r="O27" s="125" t="s">
        <v>26</v>
      </c>
      <c r="P27" s="48" t="s">
        <v>27</v>
      </c>
      <c r="Q27" s="48" t="s">
        <v>37</v>
      </c>
      <c r="R27" s="48" t="s">
        <v>28</v>
      </c>
      <c r="S27" s="49" t="s">
        <v>29</v>
      </c>
      <c r="T27" s="36" t="s">
        <v>30</v>
      </c>
      <c r="U27" s="18" t="s">
        <v>20</v>
      </c>
      <c r="V27" s="50" t="s">
        <v>21</v>
      </c>
      <c r="W27" s="1"/>
      <c r="X27" s="121" t="s">
        <v>44</v>
      </c>
      <c r="Y27" s="121" t="s">
        <v>45</v>
      </c>
      <c r="Z27" s="18" t="s">
        <v>46</v>
      </c>
      <c r="AA27" s="18" t="s">
        <v>47</v>
      </c>
      <c r="AH27" s="1"/>
      <c r="AI27" s="1"/>
      <c r="AJ27" s="1"/>
      <c r="AK27" s="1"/>
      <c r="AL27" s="4"/>
      <c r="AM27" s="4"/>
      <c r="AN27" s="4"/>
      <c r="AO27" s="4"/>
    </row>
    <row r="28" spans="1:41" ht="17.25" thickTop="1" thickBot="1" x14ac:dyDescent="0.25">
      <c r="A28" s="1"/>
      <c r="B28" s="1"/>
      <c r="C28" s="1"/>
      <c r="D28" s="1"/>
      <c r="E28" s="135"/>
      <c r="F28" s="22">
        <v>0</v>
      </c>
      <c r="G28" s="60">
        <v>88.7</v>
      </c>
      <c r="H28" s="66">
        <v>37.909999999999997</v>
      </c>
      <c r="I28" s="61">
        <v>406.6</v>
      </c>
      <c r="J28" s="61"/>
      <c r="K28" s="23"/>
      <c r="L28" s="23"/>
      <c r="M28" s="24"/>
      <c r="N28" s="25"/>
      <c r="O28" s="79">
        <v>4.0199999999999996</v>
      </c>
      <c r="P28" s="61">
        <v>10.37</v>
      </c>
      <c r="Q28" s="61">
        <v>427.7</v>
      </c>
      <c r="R28" s="26"/>
      <c r="S28" s="26"/>
      <c r="T28" s="23"/>
      <c r="U28" s="82">
        <v>57.6</v>
      </c>
      <c r="V28" s="70"/>
      <c r="W28" s="1"/>
      <c r="X28" s="122">
        <f>AVERAGE(U4,U28,U52)</f>
        <v>57.433333333333337</v>
      </c>
      <c r="Y28" s="122">
        <f>AVERAGE(U22,U46,U70)</f>
        <v>60.933333333333337</v>
      </c>
      <c r="Z28" s="123">
        <f>AVERAGE(M24,M48,M72)</f>
        <v>10.249359959037569</v>
      </c>
      <c r="AA28" s="123">
        <f>AVERAGE(T24,T48,T72)</f>
        <v>5.7910906298003999</v>
      </c>
      <c r="AH28" s="1"/>
      <c r="AI28" s="1"/>
      <c r="AJ28" s="1"/>
      <c r="AK28" s="1"/>
      <c r="AL28" s="4"/>
      <c r="AM28" s="4"/>
      <c r="AN28" s="4"/>
      <c r="AO28" s="4"/>
    </row>
    <row r="29" spans="1:41" ht="16.5" thickTop="1" x14ac:dyDescent="0.2">
      <c r="A29" s="1"/>
      <c r="B29" s="1"/>
      <c r="C29" s="1"/>
      <c r="D29" s="1"/>
      <c r="E29" s="135"/>
      <c r="F29" s="27">
        <v>10</v>
      </c>
      <c r="G29" s="62">
        <v>89</v>
      </c>
      <c r="H29" s="67">
        <v>39.81</v>
      </c>
      <c r="I29" s="63">
        <v>406.6</v>
      </c>
      <c r="J29" s="63"/>
      <c r="K29" s="28">
        <f t="shared" ref="K29:K46" si="15">(I28-I29)*10</f>
        <v>0</v>
      </c>
      <c r="L29" s="28">
        <f>K29*$C$11</f>
        <v>0</v>
      </c>
      <c r="M29" s="29">
        <f>(L29/1000)/((1/6)*$C$5)</f>
        <v>0</v>
      </c>
      <c r="N29" s="25"/>
      <c r="O29" s="80">
        <v>4.0199999999999996</v>
      </c>
      <c r="P29" s="63">
        <v>10.199999999999999</v>
      </c>
      <c r="Q29" s="63">
        <v>427.7</v>
      </c>
      <c r="R29" s="30">
        <f>-(Q28-Q29)*10</f>
        <v>0</v>
      </c>
      <c r="S29" s="30">
        <f t="shared" ref="S29:S46" si="16">R29*$C$12</f>
        <v>0</v>
      </c>
      <c r="T29" s="28" t="s">
        <v>49</v>
      </c>
      <c r="U29" s="137"/>
      <c r="V29" s="71">
        <f>(1-((O29/1000)/G29))*100</f>
        <v>99.995483146067414</v>
      </c>
      <c r="W29" s="1"/>
      <c r="AH29" s="2"/>
      <c r="AI29" s="1"/>
      <c r="AJ29" s="1"/>
      <c r="AK29" s="1"/>
      <c r="AL29" s="4"/>
      <c r="AM29" s="4"/>
      <c r="AN29" s="4"/>
      <c r="AO29" s="4"/>
    </row>
    <row r="30" spans="1:41" ht="15.75" x14ac:dyDescent="0.2">
      <c r="A30" s="1"/>
      <c r="B30" s="1"/>
      <c r="C30" s="1"/>
      <c r="D30" s="1"/>
      <c r="E30" s="135"/>
      <c r="F30" s="27">
        <v>20</v>
      </c>
      <c r="G30" s="62">
        <v>89.3</v>
      </c>
      <c r="H30" s="67">
        <v>40.26</v>
      </c>
      <c r="I30" s="63">
        <v>406.58</v>
      </c>
      <c r="J30" s="63"/>
      <c r="K30" s="28">
        <f t="shared" si="15"/>
        <v>0.20000000000038654</v>
      </c>
      <c r="L30" s="28">
        <f t="shared" ref="L30:L46" si="17">K30*$C$11</f>
        <v>4.3280000000083652</v>
      </c>
      <c r="M30" s="29">
        <f t="shared" ref="M30:M46" si="18">(L30/1000)/((1/6)*$C$5)</f>
        <v>5.983410138260413</v>
      </c>
      <c r="N30" s="25"/>
      <c r="O30" s="80">
        <v>4.09</v>
      </c>
      <c r="P30" s="63">
        <v>10.14</v>
      </c>
      <c r="Q30" s="63">
        <v>427.7</v>
      </c>
      <c r="R30" s="30">
        <f t="shared" ref="R30:R46" si="19">-(Q29-Q30)*10</f>
        <v>0</v>
      </c>
      <c r="S30" s="30">
        <f t="shared" si="16"/>
        <v>0</v>
      </c>
      <c r="T30" s="28" t="s">
        <v>49</v>
      </c>
      <c r="U30" s="138"/>
      <c r="V30" s="71">
        <f t="shared" ref="V30:V46" si="20">(1-((O30/1000)/G30))*100</f>
        <v>99.995419932810748</v>
      </c>
      <c r="W30" s="1"/>
      <c r="AH30" s="2"/>
      <c r="AI30" s="1"/>
      <c r="AJ30" s="1"/>
      <c r="AK30" s="1"/>
      <c r="AL30" s="4"/>
      <c r="AM30" s="4"/>
      <c r="AN30" s="4"/>
      <c r="AO30" s="4"/>
    </row>
    <row r="31" spans="1:41" ht="15.75" x14ac:dyDescent="0.2">
      <c r="A31" s="1"/>
      <c r="B31" s="1"/>
      <c r="C31" s="1"/>
      <c r="D31" s="1"/>
      <c r="E31" s="135"/>
      <c r="F31" s="27">
        <v>30</v>
      </c>
      <c r="G31" s="62">
        <v>89.6</v>
      </c>
      <c r="H31" s="67">
        <v>40.31</v>
      </c>
      <c r="I31" s="63">
        <v>406.52</v>
      </c>
      <c r="J31" s="63"/>
      <c r="K31" s="28">
        <f t="shared" si="15"/>
        <v>0.60000000000002274</v>
      </c>
      <c r="L31" s="28">
        <f t="shared" si="17"/>
        <v>12.984000000000492</v>
      </c>
      <c r="M31" s="29">
        <f t="shared" si="18"/>
        <v>17.950230414747224</v>
      </c>
      <c r="N31" s="25"/>
      <c r="O31" s="80">
        <v>4.0999999999999996</v>
      </c>
      <c r="P31" s="63">
        <v>10.14</v>
      </c>
      <c r="Q31" s="63">
        <v>427.7</v>
      </c>
      <c r="R31" s="30">
        <f t="shared" si="19"/>
        <v>0</v>
      </c>
      <c r="S31" s="30">
        <f t="shared" si="16"/>
        <v>0</v>
      </c>
      <c r="T31" s="28" t="s">
        <v>49</v>
      </c>
      <c r="U31" s="138"/>
      <c r="V31" s="71">
        <f t="shared" si="20"/>
        <v>99.995424107142867</v>
      </c>
      <c r="W31" s="1"/>
      <c r="AH31" s="2"/>
      <c r="AI31" s="1"/>
      <c r="AJ31" s="1"/>
      <c r="AK31" s="1"/>
      <c r="AL31" s="4"/>
      <c r="AM31" s="4"/>
      <c r="AN31" s="4"/>
      <c r="AO31" s="4"/>
    </row>
    <row r="32" spans="1:41" ht="15.75" x14ac:dyDescent="0.2">
      <c r="A32" s="1"/>
      <c r="B32" s="1"/>
      <c r="C32" s="1"/>
      <c r="D32" s="1"/>
      <c r="E32" s="135"/>
      <c r="F32" s="27">
        <v>40</v>
      </c>
      <c r="G32" s="62">
        <v>89.9</v>
      </c>
      <c r="H32" s="67">
        <v>40.090000000000003</v>
      </c>
      <c r="I32" s="63">
        <v>406.5</v>
      </c>
      <c r="J32" s="63"/>
      <c r="K32" s="28">
        <f t="shared" si="15"/>
        <v>0.1999999999998181</v>
      </c>
      <c r="L32" s="28">
        <f t="shared" si="17"/>
        <v>4.3279999999960639</v>
      </c>
      <c r="M32" s="29">
        <f t="shared" si="18"/>
        <v>5.9834101382434071</v>
      </c>
      <c r="N32" s="25"/>
      <c r="O32" s="80">
        <v>4.13</v>
      </c>
      <c r="P32" s="63">
        <v>10.199999999999999</v>
      </c>
      <c r="Q32" s="63">
        <v>427.72</v>
      </c>
      <c r="R32" s="30">
        <f t="shared" si="19"/>
        <v>0.20000000000038654</v>
      </c>
      <c r="S32" s="30">
        <f t="shared" si="16"/>
        <v>4.5240000000087432</v>
      </c>
      <c r="T32" s="28">
        <f t="shared" ref="T32:T46" si="21">(S32/1000)/((1/6)*$C$5)</f>
        <v>6.2543778801964196</v>
      </c>
      <c r="U32" s="138"/>
      <c r="V32" s="71">
        <f t="shared" si="20"/>
        <v>99.995406006674088</v>
      </c>
      <c r="W32" s="1"/>
      <c r="AH32" s="2"/>
      <c r="AI32" s="1"/>
      <c r="AJ32" s="1"/>
      <c r="AK32" s="1"/>
      <c r="AL32" s="4"/>
      <c r="AM32" s="4"/>
      <c r="AN32" s="4"/>
      <c r="AO32" s="4"/>
    </row>
    <row r="33" spans="1:41" ht="15.75" x14ac:dyDescent="0.25">
      <c r="A33" s="1"/>
      <c r="B33" s="1"/>
      <c r="C33" s="1"/>
      <c r="D33" s="1"/>
      <c r="E33" s="135"/>
      <c r="F33" s="27">
        <v>50</v>
      </c>
      <c r="G33" s="62">
        <v>90.2</v>
      </c>
      <c r="H33" s="67">
        <v>40.19</v>
      </c>
      <c r="I33" s="63">
        <v>406.49</v>
      </c>
      <c r="J33" s="63"/>
      <c r="K33" s="28">
        <f t="shared" si="15"/>
        <v>9.9999999999909051E-2</v>
      </c>
      <c r="L33" s="28">
        <f t="shared" si="17"/>
        <v>2.1639999999980319</v>
      </c>
      <c r="M33" s="29">
        <f t="shared" si="18"/>
        <v>2.9917050691217035</v>
      </c>
      <c r="N33" s="25"/>
      <c r="O33" s="80">
        <v>4.16</v>
      </c>
      <c r="P33" s="63">
        <v>10.199999999999999</v>
      </c>
      <c r="Q33" s="63">
        <v>427.72</v>
      </c>
      <c r="R33" s="30">
        <f t="shared" si="19"/>
        <v>0</v>
      </c>
      <c r="S33" s="30">
        <f t="shared" si="16"/>
        <v>0</v>
      </c>
      <c r="T33" s="28" t="s">
        <v>49</v>
      </c>
      <c r="U33" s="138"/>
      <c r="V33" s="71">
        <f t="shared" si="20"/>
        <v>99.995388026607529</v>
      </c>
      <c r="W33" s="1"/>
      <c r="X33" s="128"/>
      <c r="Y33" s="6"/>
      <c r="AH33" s="2"/>
      <c r="AI33" s="2"/>
      <c r="AJ33" s="1"/>
      <c r="AK33" s="1"/>
      <c r="AL33" s="4"/>
      <c r="AM33" s="4"/>
      <c r="AN33" s="4"/>
      <c r="AO33" s="4"/>
    </row>
    <row r="34" spans="1:41" ht="15.75" x14ac:dyDescent="0.25">
      <c r="A34" s="1"/>
      <c r="B34" s="1"/>
      <c r="C34" s="1"/>
      <c r="D34" s="1"/>
      <c r="E34" s="135"/>
      <c r="F34" s="27">
        <v>60</v>
      </c>
      <c r="G34" s="62">
        <v>90.4</v>
      </c>
      <c r="H34" s="67">
        <v>40.14</v>
      </c>
      <c r="I34" s="63">
        <v>406.48</v>
      </c>
      <c r="J34" s="63"/>
      <c r="K34" s="28">
        <f t="shared" si="15"/>
        <v>9.9999999999909051E-2</v>
      </c>
      <c r="L34" s="28">
        <f t="shared" si="17"/>
        <v>2.1639999999980319</v>
      </c>
      <c r="M34" s="29">
        <f t="shared" si="18"/>
        <v>2.9917050691217035</v>
      </c>
      <c r="N34" s="25"/>
      <c r="O34" s="80">
        <v>4.17</v>
      </c>
      <c r="P34" s="63">
        <v>10.199999999999999</v>
      </c>
      <c r="Q34" s="63">
        <v>427.74</v>
      </c>
      <c r="R34" s="30">
        <f t="shared" si="19"/>
        <v>0.1999999999998181</v>
      </c>
      <c r="S34" s="30">
        <f t="shared" si="16"/>
        <v>4.523999999995886</v>
      </c>
      <c r="T34" s="28">
        <f t="shared" si="21"/>
        <v>6.2543778801786445</v>
      </c>
      <c r="U34" s="138"/>
      <c r="V34" s="71">
        <f t="shared" si="20"/>
        <v>99.99538716814159</v>
      </c>
      <c r="W34" s="1"/>
      <c r="X34" s="128"/>
      <c r="Y34" s="6"/>
      <c r="AH34" s="104"/>
      <c r="AI34" s="104"/>
      <c r="AJ34" s="4"/>
      <c r="AK34" s="4"/>
      <c r="AL34" s="4"/>
      <c r="AM34" s="4"/>
      <c r="AN34" s="4"/>
      <c r="AO34" s="4"/>
    </row>
    <row r="35" spans="1:41" ht="15.75" x14ac:dyDescent="0.25">
      <c r="A35" s="1"/>
      <c r="B35" s="1"/>
      <c r="C35" s="1"/>
      <c r="D35" s="1"/>
      <c r="E35" s="135"/>
      <c r="F35" s="27">
        <v>70</v>
      </c>
      <c r="G35" s="62">
        <v>90.7</v>
      </c>
      <c r="H35" s="67">
        <v>40.130000000000003</v>
      </c>
      <c r="I35" s="63">
        <v>406.48</v>
      </c>
      <c r="J35" s="63"/>
      <c r="K35" s="28">
        <f t="shared" si="15"/>
        <v>0</v>
      </c>
      <c r="L35" s="28">
        <f t="shared" si="17"/>
        <v>0</v>
      </c>
      <c r="M35" s="29">
        <f t="shared" si="18"/>
        <v>0</v>
      </c>
      <c r="N35" s="25"/>
      <c r="O35" s="80">
        <v>4.1900000000000004</v>
      </c>
      <c r="P35" s="63">
        <v>10.25</v>
      </c>
      <c r="Q35" s="63">
        <v>427.76</v>
      </c>
      <c r="R35" s="30">
        <f t="shared" si="19"/>
        <v>0.1999999999998181</v>
      </c>
      <c r="S35" s="30">
        <f t="shared" si="16"/>
        <v>4.523999999995886</v>
      </c>
      <c r="T35" s="28">
        <f t="shared" si="21"/>
        <v>6.2543778801786445</v>
      </c>
      <c r="U35" s="138"/>
      <c r="V35" s="71">
        <f t="shared" si="20"/>
        <v>99.995380374862179</v>
      </c>
      <c r="W35" s="1"/>
      <c r="X35" s="128"/>
      <c r="Y35" s="6"/>
      <c r="AH35" s="104"/>
      <c r="AI35" s="104"/>
      <c r="AJ35" s="4"/>
      <c r="AK35" s="4"/>
      <c r="AL35" s="4"/>
      <c r="AM35" s="4"/>
      <c r="AN35" s="4"/>
      <c r="AO35" s="4"/>
    </row>
    <row r="36" spans="1:41" ht="15.75" x14ac:dyDescent="0.25">
      <c r="A36" s="1"/>
      <c r="B36" s="1"/>
      <c r="C36" s="1"/>
      <c r="D36" s="1"/>
      <c r="E36" s="135"/>
      <c r="F36" s="27">
        <v>80</v>
      </c>
      <c r="G36" s="62">
        <v>91</v>
      </c>
      <c r="H36" s="67">
        <v>40.14</v>
      </c>
      <c r="I36" s="63">
        <v>406.45</v>
      </c>
      <c r="J36" s="63"/>
      <c r="K36" s="28">
        <f t="shared" si="15"/>
        <v>0.30000000000029559</v>
      </c>
      <c r="L36" s="28">
        <f t="shared" si="17"/>
        <v>6.4920000000063967</v>
      </c>
      <c r="M36" s="29">
        <f t="shared" si="18"/>
        <v>8.9751152073821157</v>
      </c>
      <c r="N36" s="25"/>
      <c r="O36" s="80">
        <v>4.22</v>
      </c>
      <c r="P36" s="63">
        <v>10.199999999999999</v>
      </c>
      <c r="Q36" s="63">
        <v>427.78</v>
      </c>
      <c r="R36" s="30">
        <f t="shared" si="19"/>
        <v>0.1999999999998181</v>
      </c>
      <c r="S36" s="30">
        <f t="shared" si="16"/>
        <v>4.523999999995886</v>
      </c>
      <c r="T36" s="28">
        <f t="shared" si="21"/>
        <v>6.2543778801786445</v>
      </c>
      <c r="U36" s="138"/>
      <c r="V36" s="71">
        <f t="shared" si="20"/>
        <v>99.995362637362632</v>
      </c>
      <c r="W36" s="1"/>
      <c r="X36" s="128"/>
      <c r="Y36" s="6"/>
      <c r="AH36" s="104"/>
      <c r="AI36" s="104"/>
      <c r="AJ36" s="4"/>
      <c r="AK36" s="4"/>
      <c r="AL36" s="4"/>
      <c r="AM36" s="4"/>
      <c r="AN36" s="4"/>
      <c r="AO36" s="4"/>
    </row>
    <row r="37" spans="1:41" ht="15.75" x14ac:dyDescent="0.25">
      <c r="A37" s="1"/>
      <c r="B37" s="1"/>
      <c r="C37" s="1"/>
      <c r="D37" s="1"/>
      <c r="E37" s="135"/>
      <c r="F37" s="27">
        <v>90</v>
      </c>
      <c r="G37" s="62">
        <v>91.4</v>
      </c>
      <c r="H37" s="67">
        <v>40.19</v>
      </c>
      <c r="I37" s="63">
        <v>406.42</v>
      </c>
      <c r="J37" s="63"/>
      <c r="K37" s="28">
        <f t="shared" si="15"/>
        <v>0.29999999999972715</v>
      </c>
      <c r="L37" s="28">
        <f t="shared" si="17"/>
        <v>6.4919999999940954</v>
      </c>
      <c r="M37" s="29">
        <f t="shared" si="18"/>
        <v>8.9751152073651088</v>
      </c>
      <c r="N37" s="25"/>
      <c r="O37" s="80">
        <v>4.24</v>
      </c>
      <c r="P37" s="63">
        <v>10.199999999999999</v>
      </c>
      <c r="Q37" s="63">
        <v>427.79</v>
      </c>
      <c r="R37" s="30">
        <f t="shared" si="19"/>
        <v>0.10000000000047748</v>
      </c>
      <c r="S37" s="30">
        <f t="shared" si="16"/>
        <v>2.2620000000108007</v>
      </c>
      <c r="T37" s="28">
        <f t="shared" si="21"/>
        <v>3.1271889401070974</v>
      </c>
      <c r="U37" s="138"/>
      <c r="V37" s="71">
        <f t="shared" si="20"/>
        <v>99.995361050328228</v>
      </c>
      <c r="W37" s="1"/>
      <c r="X37" s="128"/>
      <c r="Y37" s="6"/>
      <c r="AH37" s="104"/>
      <c r="AI37" s="104"/>
      <c r="AJ37" s="4"/>
      <c r="AK37" s="4"/>
      <c r="AL37" s="4"/>
      <c r="AM37" s="4"/>
      <c r="AN37" s="4"/>
      <c r="AO37" s="4"/>
    </row>
    <row r="38" spans="1:41" ht="15.75" x14ac:dyDescent="0.25">
      <c r="A38" s="1"/>
      <c r="B38" s="1"/>
      <c r="C38" s="1"/>
      <c r="D38" s="1"/>
      <c r="E38" s="135"/>
      <c r="F38" s="27">
        <v>100</v>
      </c>
      <c r="G38" s="62">
        <v>91.5</v>
      </c>
      <c r="H38" s="67">
        <v>40.15</v>
      </c>
      <c r="I38" s="63">
        <v>406.38</v>
      </c>
      <c r="J38" s="63"/>
      <c r="K38" s="28">
        <f t="shared" si="15"/>
        <v>0.40000000000020464</v>
      </c>
      <c r="L38" s="28">
        <f t="shared" si="17"/>
        <v>8.656000000004429</v>
      </c>
      <c r="M38" s="29">
        <f t="shared" si="18"/>
        <v>11.966820276503819</v>
      </c>
      <c r="N38" s="25"/>
      <c r="O38" s="80">
        <v>4.2699999999999996</v>
      </c>
      <c r="P38" s="63">
        <v>10.14</v>
      </c>
      <c r="Q38" s="63">
        <v>427.8</v>
      </c>
      <c r="R38" s="30">
        <f t="shared" si="19"/>
        <v>9.9999999999909051E-2</v>
      </c>
      <c r="S38" s="30">
        <f t="shared" si="16"/>
        <v>2.261999999997943</v>
      </c>
      <c r="T38" s="28">
        <f t="shared" si="21"/>
        <v>3.1271889400893222</v>
      </c>
      <c r="U38" s="138"/>
      <c r="V38" s="71">
        <f t="shared" si="20"/>
        <v>99.995333333333335</v>
      </c>
      <c r="W38" s="1"/>
      <c r="X38" s="128"/>
      <c r="Y38" s="6"/>
      <c r="AH38" s="104"/>
      <c r="AI38" s="104"/>
      <c r="AJ38" s="4"/>
      <c r="AK38" s="4"/>
      <c r="AL38" s="4"/>
      <c r="AM38" s="4"/>
      <c r="AN38" s="4"/>
      <c r="AO38" s="4"/>
    </row>
    <row r="39" spans="1:41" ht="15.75" x14ac:dyDescent="0.25">
      <c r="A39" s="1"/>
      <c r="B39" s="1"/>
      <c r="C39" s="1"/>
      <c r="D39" s="1"/>
      <c r="E39" s="135"/>
      <c r="F39" s="27">
        <v>110</v>
      </c>
      <c r="G39" s="62">
        <v>91.9</v>
      </c>
      <c r="H39" s="67">
        <v>40.15</v>
      </c>
      <c r="I39" s="63">
        <v>406.31</v>
      </c>
      <c r="J39" s="63"/>
      <c r="K39" s="28">
        <f t="shared" si="15"/>
        <v>0.69999999999993179</v>
      </c>
      <c r="L39" s="28">
        <f t="shared" si="17"/>
        <v>15.147999999998524</v>
      </c>
      <c r="M39" s="29">
        <f t="shared" si="18"/>
        <v>20.941935483868928</v>
      </c>
      <c r="N39" s="25"/>
      <c r="O39" s="80">
        <v>4.29</v>
      </c>
      <c r="P39" s="63">
        <v>10.15</v>
      </c>
      <c r="Q39" s="63">
        <v>427.85</v>
      </c>
      <c r="R39" s="30">
        <f t="shared" si="19"/>
        <v>0.50000000000011369</v>
      </c>
      <c r="S39" s="30">
        <f t="shared" si="16"/>
        <v>11.310000000002573</v>
      </c>
      <c r="T39" s="28">
        <f t="shared" si="21"/>
        <v>15.635944700464387</v>
      </c>
      <c r="U39" s="138"/>
      <c r="V39" s="71">
        <f t="shared" si="20"/>
        <v>99.995331882480954</v>
      </c>
      <c r="W39" s="1"/>
      <c r="X39" s="128"/>
      <c r="Y39" s="6"/>
      <c r="AH39" s="84"/>
      <c r="AI39" s="84"/>
    </row>
    <row r="40" spans="1:41" ht="15.75" x14ac:dyDescent="0.25">
      <c r="A40" s="1"/>
      <c r="B40" s="1"/>
      <c r="C40" s="1"/>
      <c r="D40" s="1"/>
      <c r="E40" s="135"/>
      <c r="F40" s="27">
        <v>120</v>
      </c>
      <c r="G40" s="62">
        <v>92.3</v>
      </c>
      <c r="H40" s="67">
        <v>40.14</v>
      </c>
      <c r="I40" s="63">
        <v>406.29</v>
      </c>
      <c r="J40" s="63"/>
      <c r="K40" s="28">
        <f t="shared" si="15"/>
        <v>0.1999999999998181</v>
      </c>
      <c r="L40" s="28">
        <f t="shared" si="17"/>
        <v>4.3279999999960639</v>
      </c>
      <c r="M40" s="29">
        <f t="shared" si="18"/>
        <v>5.9834101382434071</v>
      </c>
      <c r="N40" s="25"/>
      <c r="O40" s="80">
        <v>4.3</v>
      </c>
      <c r="P40" s="63">
        <v>10.199999999999999</v>
      </c>
      <c r="Q40" s="63">
        <v>427.88</v>
      </c>
      <c r="R40" s="30">
        <f t="shared" si="19"/>
        <v>0.29999999999972715</v>
      </c>
      <c r="S40" s="30">
        <f t="shared" si="16"/>
        <v>6.7859999999938285</v>
      </c>
      <c r="T40" s="28">
        <f t="shared" si="21"/>
        <v>9.381566820267965</v>
      </c>
      <c r="U40" s="138"/>
      <c r="V40" s="71">
        <f t="shared" si="20"/>
        <v>99.995341278439881</v>
      </c>
      <c r="W40" s="1"/>
      <c r="X40" s="128"/>
      <c r="Y40" s="6"/>
      <c r="AH40" s="84"/>
    </row>
    <row r="41" spans="1:41" ht="15.75" x14ac:dyDescent="0.25">
      <c r="A41" s="1"/>
      <c r="B41" s="1"/>
      <c r="C41" s="1"/>
      <c r="D41" s="1"/>
      <c r="E41" s="135"/>
      <c r="F41" s="27">
        <v>130</v>
      </c>
      <c r="G41" s="62">
        <v>92.5</v>
      </c>
      <c r="H41" s="67">
        <v>40.200000000000003</v>
      </c>
      <c r="I41" s="63">
        <v>406.25</v>
      </c>
      <c r="J41" s="63"/>
      <c r="K41" s="28">
        <f t="shared" si="15"/>
        <v>0.40000000000020464</v>
      </c>
      <c r="L41" s="28">
        <f t="shared" si="17"/>
        <v>8.656000000004429</v>
      </c>
      <c r="M41" s="29">
        <f t="shared" si="18"/>
        <v>11.966820276503819</v>
      </c>
      <c r="N41" s="25"/>
      <c r="O41" s="80">
        <v>4.32</v>
      </c>
      <c r="P41" s="63">
        <v>10.199999999999999</v>
      </c>
      <c r="Q41" s="63">
        <v>427.89</v>
      </c>
      <c r="R41" s="30">
        <f t="shared" si="19"/>
        <v>9.9999999999909051E-2</v>
      </c>
      <c r="S41" s="30">
        <f t="shared" si="16"/>
        <v>2.261999999997943</v>
      </c>
      <c r="T41" s="28">
        <f t="shared" si="21"/>
        <v>3.1271889400893222</v>
      </c>
      <c r="U41" s="138"/>
      <c r="V41" s="71">
        <f t="shared" si="20"/>
        <v>99.995329729729733</v>
      </c>
      <c r="W41" s="1"/>
      <c r="X41" s="128"/>
      <c r="Y41" s="6"/>
      <c r="AH41" s="84"/>
    </row>
    <row r="42" spans="1:41" ht="15.75" x14ac:dyDescent="0.2">
      <c r="E42" s="135"/>
      <c r="F42" s="27">
        <v>140</v>
      </c>
      <c r="G42" s="62">
        <v>92.8</v>
      </c>
      <c r="H42" s="67">
        <v>40.130000000000003</v>
      </c>
      <c r="I42" s="63">
        <v>406.23</v>
      </c>
      <c r="J42" s="63"/>
      <c r="K42" s="28">
        <f t="shared" si="15"/>
        <v>0.1999999999998181</v>
      </c>
      <c r="L42" s="28">
        <f t="shared" si="17"/>
        <v>4.3279999999960639</v>
      </c>
      <c r="M42" s="29">
        <f t="shared" si="18"/>
        <v>5.9834101382434071</v>
      </c>
      <c r="N42" s="25"/>
      <c r="O42" s="80">
        <v>4.3499999999999996</v>
      </c>
      <c r="P42" s="63">
        <v>10.25</v>
      </c>
      <c r="Q42" s="63">
        <v>427.91</v>
      </c>
      <c r="R42" s="30">
        <f t="shared" si="19"/>
        <v>0.20000000000038654</v>
      </c>
      <c r="S42" s="30">
        <f t="shared" si="16"/>
        <v>4.5240000000087432</v>
      </c>
      <c r="T42" s="28">
        <f t="shared" si="21"/>
        <v>6.2543778801964196</v>
      </c>
      <c r="U42" s="138"/>
      <c r="V42" s="71">
        <f t="shared" si="20"/>
        <v>99.995312499999997</v>
      </c>
      <c r="X42" s="146"/>
      <c r="Y42" s="76"/>
    </row>
    <row r="43" spans="1:41" ht="15.75" x14ac:dyDescent="0.2">
      <c r="E43" s="135"/>
      <c r="F43" s="27">
        <v>150</v>
      </c>
      <c r="G43" s="62">
        <v>93.2</v>
      </c>
      <c r="H43" s="67">
        <v>40.14</v>
      </c>
      <c r="I43" s="63">
        <v>406.18</v>
      </c>
      <c r="J43" s="63"/>
      <c r="K43" s="28">
        <f t="shared" si="15"/>
        <v>0.50000000000011369</v>
      </c>
      <c r="L43" s="28">
        <f t="shared" si="17"/>
        <v>10.820000000002461</v>
      </c>
      <c r="M43" s="29">
        <f t="shared" si="18"/>
        <v>14.958525345625523</v>
      </c>
      <c r="N43" s="25"/>
      <c r="O43" s="80">
        <v>4.3899999999999997</v>
      </c>
      <c r="P43" s="63">
        <v>10.26</v>
      </c>
      <c r="Q43" s="63">
        <v>427.96</v>
      </c>
      <c r="R43" s="30">
        <f t="shared" si="19"/>
        <v>0.49999999999954525</v>
      </c>
      <c r="S43" s="30">
        <f t="shared" si="16"/>
        <v>11.309999999989714</v>
      </c>
      <c r="T43" s="28">
        <f t="shared" si="21"/>
        <v>15.635944700446609</v>
      </c>
      <c r="U43" s="138"/>
      <c r="V43" s="71">
        <f t="shared" si="20"/>
        <v>99.995289699570804</v>
      </c>
      <c r="X43" s="146"/>
      <c r="Y43" s="76"/>
    </row>
    <row r="44" spans="1:41" ht="15.75" x14ac:dyDescent="0.25">
      <c r="E44" s="135"/>
      <c r="F44" s="27">
        <v>160</v>
      </c>
      <c r="G44" s="62">
        <v>93.4</v>
      </c>
      <c r="H44" s="67">
        <v>40.119999999999997</v>
      </c>
      <c r="I44" s="63">
        <v>406.12</v>
      </c>
      <c r="J44" s="63"/>
      <c r="K44" s="28">
        <f t="shared" si="15"/>
        <v>0.60000000000002274</v>
      </c>
      <c r="L44" s="28">
        <f t="shared" si="17"/>
        <v>12.984000000000492</v>
      </c>
      <c r="M44" s="29">
        <f t="shared" si="18"/>
        <v>17.950230414747224</v>
      </c>
      <c r="N44" s="25"/>
      <c r="O44" s="80">
        <v>4.41</v>
      </c>
      <c r="P44" s="63">
        <v>10.26</v>
      </c>
      <c r="Q44" s="63">
        <v>427.97</v>
      </c>
      <c r="R44" s="30">
        <f t="shared" si="19"/>
        <v>0.10000000000047748</v>
      </c>
      <c r="S44" s="30">
        <f t="shared" si="16"/>
        <v>2.2620000000108007</v>
      </c>
      <c r="T44" s="28">
        <f t="shared" si="21"/>
        <v>3.1271889401070974</v>
      </c>
      <c r="U44" s="138"/>
      <c r="V44" s="71">
        <f t="shared" si="20"/>
        <v>99.995278372591002</v>
      </c>
      <c r="X44" s="129"/>
      <c r="Y44" s="76"/>
    </row>
    <row r="45" spans="1:41" ht="15.75" x14ac:dyDescent="0.2">
      <c r="E45" s="135"/>
      <c r="F45" s="27">
        <v>170</v>
      </c>
      <c r="G45" s="62">
        <v>93.7</v>
      </c>
      <c r="H45" s="67">
        <v>40.21</v>
      </c>
      <c r="I45" s="63">
        <v>406.1</v>
      </c>
      <c r="J45" s="63"/>
      <c r="K45" s="28">
        <f t="shared" si="15"/>
        <v>0.1999999999998181</v>
      </c>
      <c r="L45" s="28">
        <f t="shared" si="17"/>
        <v>4.3279999999960639</v>
      </c>
      <c r="M45" s="29">
        <f t="shared" si="18"/>
        <v>5.9834101382434071</v>
      </c>
      <c r="N45" s="25"/>
      <c r="O45" s="80">
        <v>4.43</v>
      </c>
      <c r="P45" s="63">
        <v>10.199999999999999</v>
      </c>
      <c r="Q45" s="63">
        <v>427.98</v>
      </c>
      <c r="R45" s="30">
        <f t="shared" si="19"/>
        <v>9.9999999999909051E-2</v>
      </c>
      <c r="S45" s="30">
        <f t="shared" si="16"/>
        <v>2.261999999997943</v>
      </c>
      <c r="T45" s="28">
        <f t="shared" si="21"/>
        <v>3.1271889400893222</v>
      </c>
      <c r="U45" s="139"/>
      <c r="V45" s="71">
        <f t="shared" si="20"/>
        <v>99.995272145144071</v>
      </c>
    </row>
    <row r="46" spans="1:41" ht="16.5" thickBot="1" x14ac:dyDescent="0.25">
      <c r="E46" s="136"/>
      <c r="F46" s="31">
        <v>180</v>
      </c>
      <c r="G46" s="64">
        <v>93.9</v>
      </c>
      <c r="H46" s="68">
        <v>40.1</v>
      </c>
      <c r="I46" s="65">
        <v>406.08</v>
      </c>
      <c r="J46" s="65"/>
      <c r="K46" s="32">
        <f t="shared" si="15"/>
        <v>0.20000000000038654</v>
      </c>
      <c r="L46" s="32">
        <f t="shared" si="17"/>
        <v>4.3280000000083652</v>
      </c>
      <c r="M46" s="33">
        <f t="shared" si="18"/>
        <v>5.983410138260413</v>
      </c>
      <c r="N46" s="25"/>
      <c r="O46" s="81">
        <v>4.5</v>
      </c>
      <c r="P46" s="65">
        <v>10.19</v>
      </c>
      <c r="Q46" s="65">
        <v>428</v>
      </c>
      <c r="R46" s="34">
        <f t="shared" si="19"/>
        <v>0.1999999999998181</v>
      </c>
      <c r="S46" s="34">
        <f t="shared" si="16"/>
        <v>4.523999999995886</v>
      </c>
      <c r="T46" s="32">
        <f t="shared" si="21"/>
        <v>6.2543778801786445</v>
      </c>
      <c r="U46" s="65">
        <v>61</v>
      </c>
      <c r="V46" s="71">
        <f t="shared" si="20"/>
        <v>99.995207667731634</v>
      </c>
      <c r="AG46" s="84"/>
    </row>
    <row r="47" spans="1:41" ht="17.25" thickTop="1" thickBot="1" x14ac:dyDescent="0.25">
      <c r="E47" s="35"/>
      <c r="F47" s="25"/>
      <c r="G47" s="25"/>
      <c r="H47" s="25"/>
      <c r="I47" s="25"/>
      <c r="J47" s="25"/>
      <c r="K47" s="25"/>
      <c r="L47" s="36" t="s">
        <v>17</v>
      </c>
      <c r="M47" s="37">
        <f>AVERAGE(M29:M46)</f>
        <v>8.6427035330267579</v>
      </c>
      <c r="N47" s="25"/>
      <c r="O47" s="25"/>
      <c r="P47" s="25"/>
      <c r="Q47" s="25"/>
      <c r="R47" s="88"/>
      <c r="S47" s="36" t="s">
        <v>17</v>
      </c>
      <c r="T47" s="37">
        <f>AVERAGE(T29:T46)</f>
        <v>6.7011191573406093</v>
      </c>
      <c r="U47" s="25"/>
      <c r="V47" s="127">
        <f>AVERAGE(V29:V46)</f>
        <v>99.9953505032788</v>
      </c>
      <c r="AG47" s="84"/>
    </row>
    <row r="48" spans="1:41" ht="17.25" thickTop="1" thickBot="1" x14ac:dyDescent="0.25">
      <c r="E48" s="35"/>
      <c r="F48" s="25"/>
      <c r="G48" s="25"/>
      <c r="H48" s="25"/>
      <c r="I48" s="25"/>
      <c r="J48" s="25"/>
      <c r="K48" s="25"/>
      <c r="L48" s="36" t="s">
        <v>16</v>
      </c>
      <c r="M48" s="37">
        <f>((I28-I46)*$C$11/100)/(180/60)/$C$5</f>
        <v>8.6427035330267561</v>
      </c>
      <c r="N48" s="25"/>
      <c r="O48" s="25"/>
      <c r="P48" s="25"/>
      <c r="Q48" s="25"/>
      <c r="R48" s="25"/>
      <c r="S48" s="38" t="s">
        <v>16</v>
      </c>
      <c r="T48" s="39">
        <f>-((Q28-Q46)*$C$12/100)/(180/60)/$C$5</f>
        <v>5.2119815668204739</v>
      </c>
      <c r="U48" s="25"/>
      <c r="AG48" s="84"/>
    </row>
    <row r="49" spans="5:32" ht="15.75" thickTop="1" thickBot="1" x14ac:dyDescent="0.25"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2"/>
      <c r="V49" s="74"/>
    </row>
    <row r="50" spans="5:32" ht="19.5" thickTop="1" thickBot="1" x14ac:dyDescent="0.25">
      <c r="E50" s="131" t="s">
        <v>14</v>
      </c>
      <c r="F50" s="43"/>
      <c r="G50" s="143" t="s">
        <v>10</v>
      </c>
      <c r="H50" s="144"/>
      <c r="I50" s="144"/>
      <c r="J50" s="144"/>
      <c r="K50" s="144"/>
      <c r="L50" s="144"/>
      <c r="M50" s="145"/>
      <c r="N50" s="35"/>
      <c r="O50" s="143" t="s">
        <v>11</v>
      </c>
      <c r="P50" s="144"/>
      <c r="Q50" s="144"/>
      <c r="R50" s="144"/>
      <c r="S50" s="144"/>
      <c r="T50" s="144"/>
      <c r="U50" s="144"/>
      <c r="V50" s="145"/>
      <c r="AB50" s="84"/>
      <c r="AC50" s="84"/>
    </row>
    <row r="51" spans="5:32" ht="20.25" thickTop="1" thickBot="1" x14ac:dyDescent="0.3">
      <c r="E51" s="132"/>
      <c r="F51" s="39" t="s">
        <v>7</v>
      </c>
      <c r="G51" s="92" t="s">
        <v>8</v>
      </c>
      <c r="H51" s="45" t="s">
        <v>22</v>
      </c>
      <c r="I51" s="46" t="s">
        <v>9</v>
      </c>
      <c r="J51" s="46" t="s">
        <v>23</v>
      </c>
      <c r="K51" s="46" t="s">
        <v>40</v>
      </c>
      <c r="L51" s="46" t="s">
        <v>24</v>
      </c>
      <c r="M51" s="39" t="s">
        <v>25</v>
      </c>
      <c r="N51" s="47"/>
      <c r="O51" s="125" t="s">
        <v>26</v>
      </c>
      <c r="P51" s="48" t="s">
        <v>27</v>
      </c>
      <c r="Q51" s="48" t="s">
        <v>37</v>
      </c>
      <c r="R51" s="48" t="s">
        <v>28</v>
      </c>
      <c r="S51" s="49" t="s">
        <v>29</v>
      </c>
      <c r="T51" s="53" t="s">
        <v>30</v>
      </c>
      <c r="U51" s="54" t="s">
        <v>20</v>
      </c>
      <c r="V51" s="18" t="s">
        <v>21</v>
      </c>
      <c r="AB51" s="84"/>
      <c r="AC51" s="84"/>
    </row>
    <row r="52" spans="5:32" ht="16.5" thickTop="1" x14ac:dyDescent="0.2">
      <c r="E52" s="132"/>
      <c r="F52" s="22">
        <v>0</v>
      </c>
      <c r="G52" s="60">
        <v>88.8</v>
      </c>
      <c r="H52" s="67">
        <v>39.97</v>
      </c>
      <c r="I52" s="61">
        <v>6.8</v>
      </c>
      <c r="J52" s="61"/>
      <c r="K52" s="23"/>
      <c r="L52" s="23"/>
      <c r="M52" s="24"/>
      <c r="N52" s="25"/>
      <c r="O52" s="79">
        <v>3.97</v>
      </c>
      <c r="P52" s="61">
        <v>10.42</v>
      </c>
      <c r="Q52" s="61">
        <v>7.47</v>
      </c>
      <c r="R52" s="105"/>
      <c r="S52" s="26"/>
      <c r="T52" s="23"/>
      <c r="U52" s="82">
        <v>57.7</v>
      </c>
      <c r="V52" s="70"/>
      <c r="AB52" s="84"/>
      <c r="AC52" s="84"/>
    </row>
    <row r="53" spans="5:32" ht="15.75" x14ac:dyDescent="0.2">
      <c r="E53" s="132"/>
      <c r="F53" s="27">
        <v>10</v>
      </c>
      <c r="G53" s="60">
        <v>89</v>
      </c>
      <c r="H53" s="67">
        <v>40.200000000000003</v>
      </c>
      <c r="I53" s="63">
        <v>6.72</v>
      </c>
      <c r="J53" s="63">
        <v>0.80000000000000071</v>
      </c>
      <c r="K53" s="28">
        <f>J53/10</f>
        <v>8.0000000000000071E-2</v>
      </c>
      <c r="L53" s="28">
        <f>J53*$C$11</f>
        <v>17.312000000000015</v>
      </c>
      <c r="M53" s="29">
        <f>(L53/1000)/((1/6)*$C$5)</f>
        <v>23.933640552995413</v>
      </c>
      <c r="N53" s="25"/>
      <c r="O53" s="80">
        <v>3.99</v>
      </c>
      <c r="P53" s="63">
        <v>10.27</v>
      </c>
      <c r="Q53" s="63">
        <v>7.47</v>
      </c>
      <c r="R53" s="106">
        <f>-(Q52-Q53)*10</f>
        <v>0</v>
      </c>
      <c r="S53" s="30">
        <f>R53*$C$12</f>
        <v>0</v>
      </c>
      <c r="T53" s="28" t="s">
        <v>49</v>
      </c>
      <c r="U53" s="137"/>
      <c r="V53" s="71">
        <f>(1-((O53/1000)/G53))*100</f>
        <v>99.995516853932585</v>
      </c>
      <c r="Y53" s="84"/>
      <c r="AB53" s="84"/>
      <c r="AC53" s="84"/>
    </row>
    <row r="54" spans="5:32" ht="15.75" x14ac:dyDescent="0.2">
      <c r="E54" s="132"/>
      <c r="F54" s="27">
        <v>20</v>
      </c>
      <c r="G54" s="60">
        <v>89.2</v>
      </c>
      <c r="H54" s="67">
        <v>40.1</v>
      </c>
      <c r="I54" s="63">
        <v>6.62</v>
      </c>
      <c r="J54" s="63">
        <v>0.99999999999999645</v>
      </c>
      <c r="K54" s="28">
        <f t="shared" ref="K54:K70" si="22">J54/10</f>
        <v>9.9999999999999645E-2</v>
      </c>
      <c r="L54" s="28">
        <f t="shared" ref="L54:L70" si="23">J54*$C$11</f>
        <v>21.639999999999922</v>
      </c>
      <c r="M54" s="29">
        <f t="shared" ref="M54:M70" si="24">(L54/1000)/((1/6)*$C$5)</f>
        <v>29.917050691244135</v>
      </c>
      <c r="N54" s="25"/>
      <c r="O54" s="80">
        <v>4.01</v>
      </c>
      <c r="P54" s="63">
        <v>10.25</v>
      </c>
      <c r="Q54" s="63">
        <v>7.47</v>
      </c>
      <c r="R54" s="106">
        <f t="shared" ref="R54:R70" si="25">-(Q53-Q54)*10</f>
        <v>0</v>
      </c>
      <c r="S54" s="30">
        <f t="shared" ref="S54:S70" si="26">R54*$C$12</f>
        <v>0</v>
      </c>
      <c r="T54" s="28" t="s">
        <v>49</v>
      </c>
      <c r="U54" s="138"/>
      <c r="V54" s="71">
        <f t="shared" ref="V54:V70" si="27">(1-((O54/1000)/G54))*100</f>
        <v>99.995504484304931</v>
      </c>
      <c r="Y54" s="84"/>
      <c r="AB54" s="84"/>
      <c r="AC54" s="84"/>
      <c r="AE54" s="84"/>
      <c r="AF54" s="84"/>
    </row>
    <row r="55" spans="5:32" ht="15.75" x14ac:dyDescent="0.2">
      <c r="E55" s="132"/>
      <c r="F55" s="27">
        <v>30</v>
      </c>
      <c r="G55" s="60">
        <v>89.5</v>
      </c>
      <c r="H55" s="67">
        <v>40.1</v>
      </c>
      <c r="I55" s="63">
        <v>6.59</v>
      </c>
      <c r="J55" s="63">
        <v>0.30000000000000249</v>
      </c>
      <c r="K55" s="28">
        <f t="shared" si="22"/>
        <v>3.0000000000000249E-2</v>
      </c>
      <c r="L55" s="28">
        <f t="shared" si="23"/>
        <v>6.4920000000000542</v>
      </c>
      <c r="M55" s="29">
        <f t="shared" si="24"/>
        <v>8.9751152073733476</v>
      </c>
      <c r="N55" s="25"/>
      <c r="O55" s="80">
        <v>4.05</v>
      </c>
      <c r="P55" s="63">
        <v>10.199999999999999</v>
      </c>
      <c r="Q55" s="63">
        <v>7.48</v>
      </c>
      <c r="R55" s="106">
        <f t="shared" si="25"/>
        <v>0.10000000000000675</v>
      </c>
      <c r="S55" s="30">
        <f t="shared" si="26"/>
        <v>2.2620000000001528</v>
      </c>
      <c r="T55" s="28">
        <f t="shared" ref="T55:T70" si="28">(S55/1000)/((1/6)*$C$5)</f>
        <v>3.1271889400923771</v>
      </c>
      <c r="U55" s="138"/>
      <c r="V55" s="71">
        <f t="shared" si="27"/>
        <v>99.995474860335193</v>
      </c>
      <c r="Y55" s="84"/>
      <c r="AE55" s="84"/>
      <c r="AF55" s="84"/>
    </row>
    <row r="56" spans="5:32" ht="15.75" x14ac:dyDescent="0.2">
      <c r="E56" s="132"/>
      <c r="F56" s="27">
        <v>40</v>
      </c>
      <c r="G56" s="60">
        <v>89.9</v>
      </c>
      <c r="H56" s="67">
        <v>40.1</v>
      </c>
      <c r="I56" s="63">
        <v>6.51</v>
      </c>
      <c r="J56" s="63">
        <v>0.80000000000000071</v>
      </c>
      <c r="K56" s="28">
        <f t="shared" si="22"/>
        <v>8.0000000000000071E-2</v>
      </c>
      <c r="L56" s="28">
        <f t="shared" si="23"/>
        <v>17.312000000000015</v>
      </c>
      <c r="M56" s="29">
        <f t="shared" si="24"/>
        <v>23.933640552995413</v>
      </c>
      <c r="N56" s="25"/>
      <c r="O56" s="80">
        <v>4.09</v>
      </c>
      <c r="P56" s="63">
        <v>10.1</v>
      </c>
      <c r="Q56" s="63">
        <v>7.48</v>
      </c>
      <c r="R56" s="106">
        <f t="shared" si="25"/>
        <v>0</v>
      </c>
      <c r="S56" s="30">
        <f t="shared" si="26"/>
        <v>0</v>
      </c>
      <c r="T56" s="28" t="s">
        <v>49</v>
      </c>
      <c r="U56" s="138"/>
      <c r="V56" s="71">
        <f t="shared" si="27"/>
        <v>99.995450500556174</v>
      </c>
      <c r="Y56" s="84"/>
    </row>
    <row r="57" spans="5:32" ht="15.75" x14ac:dyDescent="0.2">
      <c r="E57" s="132"/>
      <c r="F57" s="27">
        <v>50</v>
      </c>
      <c r="G57" s="60">
        <v>90.2</v>
      </c>
      <c r="H57" s="67">
        <v>40.1</v>
      </c>
      <c r="I57" s="63">
        <v>6.5</v>
      </c>
      <c r="J57" s="63">
        <v>9.9999999999997868E-2</v>
      </c>
      <c r="K57" s="28">
        <f t="shared" si="22"/>
        <v>9.9999999999997868E-3</v>
      </c>
      <c r="L57" s="28">
        <f t="shared" si="23"/>
        <v>2.163999999999954</v>
      </c>
      <c r="M57" s="29">
        <f t="shared" si="24"/>
        <v>2.9917050691243605</v>
      </c>
      <c r="N57" s="25"/>
      <c r="O57" s="80">
        <v>4.17</v>
      </c>
      <c r="P57" s="63">
        <v>10.1</v>
      </c>
      <c r="Q57" s="63">
        <v>7.48</v>
      </c>
      <c r="R57" s="106">
        <f t="shared" si="25"/>
        <v>0</v>
      </c>
      <c r="S57" s="30">
        <f t="shared" si="26"/>
        <v>0</v>
      </c>
      <c r="T57" s="28" t="s">
        <v>49</v>
      </c>
      <c r="U57" s="138"/>
      <c r="V57" s="71">
        <f t="shared" si="27"/>
        <v>99.995376940133042</v>
      </c>
      <c r="Y57" s="84"/>
    </row>
    <row r="58" spans="5:32" ht="15.75" x14ac:dyDescent="0.2">
      <c r="E58" s="132"/>
      <c r="F58" s="27">
        <v>60</v>
      </c>
      <c r="G58" s="60">
        <v>90.4</v>
      </c>
      <c r="H58" s="67">
        <v>40.1</v>
      </c>
      <c r="I58" s="63">
        <v>6.49</v>
      </c>
      <c r="J58" s="63">
        <v>9.9999999999997868E-2</v>
      </c>
      <c r="K58" s="28">
        <f t="shared" si="22"/>
        <v>9.9999999999997868E-3</v>
      </c>
      <c r="L58" s="28">
        <f t="shared" si="23"/>
        <v>2.163999999999954</v>
      </c>
      <c r="M58" s="29">
        <f t="shared" si="24"/>
        <v>2.9917050691243605</v>
      </c>
      <c r="N58" s="25"/>
      <c r="O58" s="80">
        <v>4.24</v>
      </c>
      <c r="P58" s="63">
        <v>10.1</v>
      </c>
      <c r="Q58" s="63">
        <v>7.49</v>
      </c>
      <c r="R58" s="106">
        <f t="shared" si="25"/>
        <v>9.9999999999997868E-2</v>
      </c>
      <c r="S58" s="30">
        <f t="shared" si="26"/>
        <v>2.261999999999952</v>
      </c>
      <c r="T58" s="28">
        <f t="shared" si="28"/>
        <v>3.1271889400920996</v>
      </c>
      <c r="U58" s="138"/>
      <c r="V58" s="71">
        <f t="shared" si="27"/>
        <v>99.99530973451327</v>
      </c>
    </row>
    <row r="59" spans="5:32" ht="15.75" x14ac:dyDescent="0.2">
      <c r="E59" s="132"/>
      <c r="F59" s="27">
        <v>70</v>
      </c>
      <c r="G59" s="60">
        <v>90.6</v>
      </c>
      <c r="H59" s="67">
        <v>40.04</v>
      </c>
      <c r="I59" s="63">
        <v>6.45</v>
      </c>
      <c r="J59" s="63">
        <v>0.40000000000000036</v>
      </c>
      <c r="K59" s="28">
        <f t="shared" si="22"/>
        <v>4.0000000000000036E-2</v>
      </c>
      <c r="L59" s="28">
        <f t="shared" si="23"/>
        <v>8.6560000000000077</v>
      </c>
      <c r="M59" s="29">
        <f t="shared" si="24"/>
        <v>11.966820276497707</v>
      </c>
      <c r="N59" s="25"/>
      <c r="O59" s="80">
        <v>4.28</v>
      </c>
      <c r="P59" s="63">
        <v>10.09</v>
      </c>
      <c r="Q59" s="63">
        <v>7.49</v>
      </c>
      <c r="R59" s="106">
        <f t="shared" si="25"/>
        <v>0</v>
      </c>
      <c r="S59" s="30">
        <f t="shared" si="26"/>
        <v>0</v>
      </c>
      <c r="T59" s="28" t="s">
        <v>49</v>
      </c>
      <c r="U59" s="138"/>
      <c r="V59" s="71">
        <f t="shared" si="27"/>
        <v>99.995275938189849</v>
      </c>
    </row>
    <row r="60" spans="5:32" ht="15.75" x14ac:dyDescent="0.2">
      <c r="E60" s="132"/>
      <c r="F60" s="27">
        <v>80</v>
      </c>
      <c r="G60" s="60">
        <v>91</v>
      </c>
      <c r="H60" s="67">
        <v>40.1</v>
      </c>
      <c r="I60" s="63">
        <v>6.42</v>
      </c>
      <c r="J60" s="63">
        <v>0.30000000000000249</v>
      </c>
      <c r="K60" s="28">
        <f t="shared" si="22"/>
        <v>3.0000000000000249E-2</v>
      </c>
      <c r="L60" s="28">
        <f t="shared" si="23"/>
        <v>6.4920000000000542</v>
      </c>
      <c r="M60" s="29">
        <f t="shared" si="24"/>
        <v>8.9751152073733476</v>
      </c>
      <c r="N60" s="25"/>
      <c r="O60" s="80">
        <v>4.3</v>
      </c>
      <c r="P60" s="63">
        <v>10.06</v>
      </c>
      <c r="Q60" s="63">
        <v>7.5</v>
      </c>
      <c r="R60" s="106">
        <f t="shared" si="25"/>
        <v>9.9999999999997868E-2</v>
      </c>
      <c r="S60" s="30">
        <f t="shared" si="26"/>
        <v>2.261999999999952</v>
      </c>
      <c r="T60" s="28">
        <f t="shared" si="28"/>
        <v>3.1271889400920996</v>
      </c>
      <c r="U60" s="138"/>
      <c r="V60" s="71">
        <f t="shared" si="27"/>
        <v>99.995274725274726</v>
      </c>
    </row>
    <row r="61" spans="5:32" ht="15.75" x14ac:dyDescent="0.2">
      <c r="E61" s="132"/>
      <c r="F61" s="27">
        <v>90</v>
      </c>
      <c r="G61" s="60">
        <v>91.2</v>
      </c>
      <c r="H61" s="67">
        <v>40.04</v>
      </c>
      <c r="I61" s="63">
        <v>6.37</v>
      </c>
      <c r="J61" s="63">
        <v>0.49999999999999822</v>
      </c>
      <c r="K61" s="28">
        <f t="shared" si="22"/>
        <v>4.9999999999999822E-2</v>
      </c>
      <c r="L61" s="28">
        <f t="shared" si="23"/>
        <v>10.819999999999961</v>
      </c>
      <c r="M61" s="29">
        <f t="shared" si="24"/>
        <v>14.958525345622068</v>
      </c>
      <c r="N61" s="25"/>
      <c r="O61" s="80">
        <v>4.3499999999999996</v>
      </c>
      <c r="P61" s="63">
        <v>10.09</v>
      </c>
      <c r="Q61" s="63">
        <v>7.51</v>
      </c>
      <c r="R61" s="106">
        <f t="shared" si="25"/>
        <v>9.9999999999997868E-2</v>
      </c>
      <c r="S61" s="30">
        <f t="shared" si="26"/>
        <v>2.261999999999952</v>
      </c>
      <c r="T61" s="28">
        <f t="shared" si="28"/>
        <v>3.1271889400920996</v>
      </c>
      <c r="U61" s="138"/>
      <c r="V61" s="71">
        <f t="shared" si="27"/>
        <v>99.995230263157893</v>
      </c>
    </row>
    <row r="62" spans="5:32" ht="15.75" x14ac:dyDescent="0.2">
      <c r="E62" s="132"/>
      <c r="F62" s="27">
        <v>100</v>
      </c>
      <c r="G62" s="60">
        <v>91.5</v>
      </c>
      <c r="H62" s="67">
        <v>40.1</v>
      </c>
      <c r="I62" s="63">
        <v>6.31</v>
      </c>
      <c r="J62" s="63">
        <v>0.60000000000000497</v>
      </c>
      <c r="K62" s="28">
        <f t="shared" si="22"/>
        <v>6.0000000000000497E-2</v>
      </c>
      <c r="L62" s="28">
        <f t="shared" si="23"/>
        <v>12.984000000000108</v>
      </c>
      <c r="M62" s="29">
        <f t="shared" si="24"/>
        <v>17.950230414746695</v>
      </c>
      <c r="N62" s="25"/>
      <c r="O62" s="80">
        <v>4.37</v>
      </c>
      <c r="P62" s="63">
        <v>10.09</v>
      </c>
      <c r="Q62" s="63">
        <v>7.51</v>
      </c>
      <c r="R62" s="106">
        <f t="shared" si="25"/>
        <v>0</v>
      </c>
      <c r="S62" s="30">
        <f t="shared" si="26"/>
        <v>0</v>
      </c>
      <c r="T62" s="28" t="s">
        <v>49</v>
      </c>
      <c r="U62" s="138"/>
      <c r="V62" s="71">
        <f t="shared" si="27"/>
        <v>99.995224043715851</v>
      </c>
    </row>
    <row r="63" spans="5:32" ht="15.75" x14ac:dyDescent="0.2">
      <c r="E63" s="132"/>
      <c r="F63" s="27">
        <v>110</v>
      </c>
      <c r="G63" s="60">
        <v>91.9</v>
      </c>
      <c r="H63" s="67">
        <v>40.1</v>
      </c>
      <c r="I63" s="63">
        <v>6.3</v>
      </c>
      <c r="J63" s="63">
        <v>9.9999999999997868E-2</v>
      </c>
      <c r="K63" s="28">
        <f t="shared" si="22"/>
        <v>9.9999999999997868E-3</v>
      </c>
      <c r="L63" s="28">
        <f t="shared" si="23"/>
        <v>2.163999999999954</v>
      </c>
      <c r="M63" s="29">
        <f t="shared" si="24"/>
        <v>2.9917050691243605</v>
      </c>
      <c r="N63" s="25"/>
      <c r="O63" s="80">
        <v>4.41</v>
      </c>
      <c r="P63" s="63">
        <v>10.09</v>
      </c>
      <c r="Q63" s="63">
        <v>7.52</v>
      </c>
      <c r="R63" s="106">
        <f t="shared" si="25"/>
        <v>9.9999999999997868E-2</v>
      </c>
      <c r="S63" s="30">
        <f t="shared" si="26"/>
        <v>2.261999999999952</v>
      </c>
      <c r="T63" s="28">
        <f t="shared" si="28"/>
        <v>3.1271889400920996</v>
      </c>
      <c r="U63" s="138"/>
      <c r="V63" s="71">
        <f t="shared" si="27"/>
        <v>99.995201305767139</v>
      </c>
    </row>
    <row r="64" spans="5:32" ht="15.75" x14ac:dyDescent="0.2">
      <c r="E64" s="132"/>
      <c r="F64" s="27">
        <v>120</v>
      </c>
      <c r="G64" s="60">
        <v>92.3</v>
      </c>
      <c r="H64" s="67">
        <v>40.049999999999997</v>
      </c>
      <c r="I64" s="63">
        <v>6.3</v>
      </c>
      <c r="J64" s="63">
        <v>0</v>
      </c>
      <c r="K64" s="28">
        <f t="shared" si="22"/>
        <v>0</v>
      </c>
      <c r="L64" s="28">
        <f t="shared" si="23"/>
        <v>0</v>
      </c>
      <c r="M64" s="29">
        <f t="shared" si="24"/>
        <v>0</v>
      </c>
      <c r="N64" s="25"/>
      <c r="O64" s="80">
        <v>4.47</v>
      </c>
      <c r="P64" s="63">
        <v>10.029999999999999</v>
      </c>
      <c r="Q64" s="63">
        <v>7.53</v>
      </c>
      <c r="R64" s="106">
        <f t="shared" si="25"/>
        <v>0.10000000000000675</v>
      </c>
      <c r="S64" s="30">
        <f t="shared" si="26"/>
        <v>2.2620000000001528</v>
      </c>
      <c r="T64" s="28">
        <f t="shared" si="28"/>
        <v>3.1271889400923771</v>
      </c>
      <c r="U64" s="138"/>
      <c r="V64" s="71">
        <f t="shared" si="27"/>
        <v>99.995157096424705</v>
      </c>
    </row>
    <row r="65" spans="5:22" ht="15.75" x14ac:dyDescent="0.2">
      <c r="E65" s="132"/>
      <c r="F65" s="27">
        <v>130</v>
      </c>
      <c r="G65" s="60">
        <v>92.6</v>
      </c>
      <c r="H65" s="67">
        <v>40.049999999999997</v>
      </c>
      <c r="I65" s="63">
        <v>6.25</v>
      </c>
      <c r="J65" s="63">
        <v>0.49999999999999822</v>
      </c>
      <c r="K65" s="28">
        <f t="shared" si="22"/>
        <v>4.9999999999999822E-2</v>
      </c>
      <c r="L65" s="28">
        <f t="shared" si="23"/>
        <v>10.819999999999961</v>
      </c>
      <c r="M65" s="29">
        <f t="shared" si="24"/>
        <v>14.958525345622068</v>
      </c>
      <c r="N65" s="25"/>
      <c r="O65" s="80">
        <v>4.5</v>
      </c>
      <c r="P65" s="63">
        <v>10.07</v>
      </c>
      <c r="Q65" s="63">
        <v>7.57</v>
      </c>
      <c r="R65" s="106">
        <f t="shared" si="25"/>
        <v>0.40000000000000036</v>
      </c>
      <c r="S65" s="30">
        <f t="shared" si="26"/>
        <v>9.0480000000000089</v>
      </c>
      <c r="T65" s="28">
        <f t="shared" si="28"/>
        <v>12.508755760368677</v>
      </c>
      <c r="U65" s="138"/>
      <c r="V65" s="71">
        <f t="shared" si="27"/>
        <v>99.995140388768903</v>
      </c>
    </row>
    <row r="66" spans="5:22" ht="15.75" x14ac:dyDescent="0.2">
      <c r="E66" s="132"/>
      <c r="F66" s="27">
        <v>140</v>
      </c>
      <c r="G66" s="60">
        <v>92.8</v>
      </c>
      <c r="H66" s="67">
        <v>40</v>
      </c>
      <c r="I66" s="63">
        <v>6.19</v>
      </c>
      <c r="J66" s="63">
        <v>0.59999999999999609</v>
      </c>
      <c r="K66" s="28">
        <f t="shared" si="22"/>
        <v>5.9999999999999609E-2</v>
      </c>
      <c r="L66" s="28">
        <f t="shared" si="23"/>
        <v>12.983999999999916</v>
      </c>
      <c r="M66" s="29">
        <f t="shared" si="24"/>
        <v>17.950230414746429</v>
      </c>
      <c r="N66" s="25"/>
      <c r="O66" s="80">
        <v>4.53</v>
      </c>
      <c r="P66" s="63">
        <v>10.029999999999999</v>
      </c>
      <c r="Q66" s="63">
        <v>7.6</v>
      </c>
      <c r="R66" s="106">
        <f t="shared" si="25"/>
        <v>0.29999999999999361</v>
      </c>
      <c r="S66" s="30">
        <f t="shared" si="26"/>
        <v>6.7859999999998557</v>
      </c>
      <c r="T66" s="28">
        <f t="shared" si="28"/>
        <v>9.3815668202762978</v>
      </c>
      <c r="U66" s="138"/>
      <c r="V66" s="71">
        <f t="shared" si="27"/>
        <v>99.995118534482756</v>
      </c>
    </row>
    <row r="67" spans="5:22" ht="15.75" x14ac:dyDescent="0.2">
      <c r="E67" s="132"/>
      <c r="F67" s="27">
        <v>150</v>
      </c>
      <c r="G67" s="60">
        <v>93.2</v>
      </c>
      <c r="H67" s="67">
        <v>40.04</v>
      </c>
      <c r="I67" s="63">
        <v>6.15</v>
      </c>
      <c r="J67" s="63">
        <v>0.40000000000000036</v>
      </c>
      <c r="K67" s="28">
        <f t="shared" si="22"/>
        <v>4.0000000000000036E-2</v>
      </c>
      <c r="L67" s="28">
        <f t="shared" si="23"/>
        <v>8.6560000000000077</v>
      </c>
      <c r="M67" s="29">
        <f t="shared" si="24"/>
        <v>11.966820276497707</v>
      </c>
      <c r="N67" s="25"/>
      <c r="O67" s="80">
        <v>4.55</v>
      </c>
      <c r="P67" s="63">
        <v>10.029999999999999</v>
      </c>
      <c r="Q67" s="63">
        <v>7.62</v>
      </c>
      <c r="R67" s="106">
        <f t="shared" si="25"/>
        <v>0.20000000000000462</v>
      </c>
      <c r="S67" s="30">
        <f t="shared" si="26"/>
        <v>4.5240000000001048</v>
      </c>
      <c r="T67" s="28">
        <f t="shared" si="28"/>
        <v>6.2543778801844772</v>
      </c>
      <c r="U67" s="138"/>
      <c r="V67" s="71">
        <f t="shared" si="27"/>
        <v>99.995118025751069</v>
      </c>
    </row>
    <row r="68" spans="5:22" ht="15.75" x14ac:dyDescent="0.2">
      <c r="E68" s="132"/>
      <c r="F68" s="27">
        <v>160</v>
      </c>
      <c r="G68" s="60">
        <v>93.5</v>
      </c>
      <c r="H68" s="67">
        <v>40.04</v>
      </c>
      <c r="I68" s="63">
        <v>6.13</v>
      </c>
      <c r="J68" s="63">
        <v>0.20000000000000462</v>
      </c>
      <c r="K68" s="28">
        <f t="shared" si="22"/>
        <v>2.0000000000000462E-2</v>
      </c>
      <c r="L68" s="28">
        <f t="shared" si="23"/>
        <v>4.3280000000000998</v>
      </c>
      <c r="M68" s="29">
        <f t="shared" si="24"/>
        <v>5.9834101382489866</v>
      </c>
      <c r="N68" s="25"/>
      <c r="O68" s="80">
        <v>4.59</v>
      </c>
      <c r="P68" s="63">
        <v>10.029999999999999</v>
      </c>
      <c r="Q68" s="63">
        <v>7.63</v>
      </c>
      <c r="R68" s="106">
        <f t="shared" si="25"/>
        <v>9.9999999999997868E-2</v>
      </c>
      <c r="S68" s="30">
        <f t="shared" si="26"/>
        <v>2.261999999999952</v>
      </c>
      <c r="T68" s="28">
        <f t="shared" si="28"/>
        <v>3.1271889400920996</v>
      </c>
      <c r="U68" s="138"/>
      <c r="V68" s="71">
        <f t="shared" si="27"/>
        <v>99.995090909090905</v>
      </c>
    </row>
    <row r="69" spans="5:22" ht="15.75" x14ac:dyDescent="0.2">
      <c r="E69" s="132"/>
      <c r="F69" s="27">
        <v>170</v>
      </c>
      <c r="G69" s="60">
        <v>93.8</v>
      </c>
      <c r="H69" s="67">
        <v>40.049999999999997</v>
      </c>
      <c r="I69" s="63">
        <v>6.1</v>
      </c>
      <c r="J69" s="63">
        <v>0.30000000000000249</v>
      </c>
      <c r="K69" s="28">
        <f t="shared" si="22"/>
        <v>3.0000000000000249E-2</v>
      </c>
      <c r="L69" s="28">
        <f t="shared" si="23"/>
        <v>6.4920000000000542</v>
      </c>
      <c r="M69" s="29">
        <f t="shared" si="24"/>
        <v>8.9751152073733476</v>
      </c>
      <c r="N69" s="25"/>
      <c r="O69" s="80">
        <v>4.6500000000000004</v>
      </c>
      <c r="P69" s="63">
        <v>9.98</v>
      </c>
      <c r="Q69" s="63">
        <v>7.75</v>
      </c>
      <c r="R69" s="106">
        <f t="shared" si="25"/>
        <v>1.2000000000000011</v>
      </c>
      <c r="S69" s="30">
        <f t="shared" si="26"/>
        <v>27.144000000000027</v>
      </c>
      <c r="T69" s="28">
        <f t="shared" si="28"/>
        <v>37.52626728110603</v>
      </c>
      <c r="U69" s="139"/>
      <c r="V69" s="71">
        <f t="shared" si="27"/>
        <v>99.995042643923242</v>
      </c>
    </row>
    <row r="70" spans="5:22" ht="16.5" thickBot="1" x14ac:dyDescent="0.25">
      <c r="E70" s="133"/>
      <c r="F70" s="31">
        <v>180</v>
      </c>
      <c r="G70" s="95">
        <v>94.1</v>
      </c>
      <c r="H70" s="65">
        <v>40.04</v>
      </c>
      <c r="I70" s="94">
        <v>6.1</v>
      </c>
      <c r="J70" s="94">
        <v>0</v>
      </c>
      <c r="K70" s="90">
        <f t="shared" si="22"/>
        <v>0</v>
      </c>
      <c r="L70" s="28">
        <f t="shared" si="23"/>
        <v>0</v>
      </c>
      <c r="M70" s="33">
        <f t="shared" si="24"/>
        <v>0</v>
      </c>
      <c r="N70" s="25"/>
      <c r="O70" s="81">
        <v>4.7</v>
      </c>
      <c r="P70" s="65">
        <v>10.029999999999999</v>
      </c>
      <c r="Q70" s="65">
        <v>7.8</v>
      </c>
      <c r="R70" s="107">
        <f t="shared" si="25"/>
        <v>0.49999999999999822</v>
      </c>
      <c r="S70" s="34">
        <f t="shared" si="26"/>
        <v>11.30999999999996</v>
      </c>
      <c r="T70" s="32">
        <f t="shared" si="28"/>
        <v>15.635944700460772</v>
      </c>
      <c r="U70" s="83">
        <v>61.2</v>
      </c>
      <c r="V70" s="71">
        <f t="shared" si="27"/>
        <v>99.995005313496279</v>
      </c>
    </row>
    <row r="71" spans="5:22" ht="17.25" thickTop="1" thickBot="1" x14ac:dyDescent="0.25">
      <c r="G71" s="89"/>
      <c r="I71" s="89"/>
      <c r="J71" s="89"/>
      <c r="K71" s="55"/>
      <c r="L71" s="36" t="s">
        <v>17</v>
      </c>
      <c r="M71" s="37">
        <f>AVERAGE(M53:M70)</f>
        <v>11.634408602150543</v>
      </c>
      <c r="O71" s="89"/>
      <c r="R71" s="89"/>
      <c r="S71" s="56" t="s">
        <v>17</v>
      </c>
      <c r="T71" s="36">
        <f>AVERAGE(T53:T70)</f>
        <v>8.5997695852534584</v>
      </c>
      <c r="U71" s="85"/>
      <c r="V71" s="127">
        <f>AVERAGE(V53:V70)</f>
        <v>99.995250697878802</v>
      </c>
    </row>
    <row r="72" spans="5:22" ht="17.25" thickTop="1" thickBot="1" x14ac:dyDescent="0.25">
      <c r="L72" s="38" t="s">
        <v>16</v>
      </c>
      <c r="M72" s="39">
        <f>((I52-I70)*$C$11/100)/(180/60)/$C$5</f>
        <v>11.634408602150543</v>
      </c>
      <c r="R72" s="84"/>
      <c r="S72" s="93" t="s">
        <v>16</v>
      </c>
      <c r="T72" s="38">
        <f>-((Q52-Q70)*$C$12/100)/(180/60)/$C$5</f>
        <v>5.733179723502305</v>
      </c>
    </row>
    <row r="73" spans="5:22" ht="15" thickTop="1" x14ac:dyDescent="0.2"/>
  </sheetData>
  <mergeCells count="19">
    <mergeCell ref="X42:X43"/>
    <mergeCell ref="X23:Y23"/>
    <mergeCell ref="X2:X22"/>
    <mergeCell ref="Z2:AA2"/>
    <mergeCell ref="AB2:AC2"/>
    <mergeCell ref="Y2:Y3"/>
    <mergeCell ref="B20:B21"/>
    <mergeCell ref="E50:E70"/>
    <mergeCell ref="E2:E22"/>
    <mergeCell ref="E26:E46"/>
    <mergeCell ref="U29:U45"/>
    <mergeCell ref="U53:U69"/>
    <mergeCell ref="G2:M2"/>
    <mergeCell ref="O2:V2"/>
    <mergeCell ref="G26:M26"/>
    <mergeCell ref="O26:V26"/>
    <mergeCell ref="G50:M50"/>
    <mergeCell ref="O50:V50"/>
    <mergeCell ref="U5:U21"/>
  </mergeCells>
  <dataValidations count="5">
    <dataValidation type="list" allowBlank="1" showInputMessage="1" showErrorMessage="1" sqref="C4 Y33" xr:uid="{7F94D367-BAA6-40E0-B425-5A88C15D919C}">
      <formula1>"GVHP, HVHP"</formula1>
    </dataValidation>
    <dataValidation type="list" allowBlank="1" showInputMessage="1" showErrorMessage="1" sqref="C7 Y35" xr:uid="{AE277084-73F5-4250-AAF0-F8D390480C6B}">
      <formula1>"40, 60, 80"</formula1>
    </dataValidation>
    <dataValidation type="list" allowBlank="1" showInputMessage="1" showErrorMessage="1" sqref="C21 Y43" xr:uid="{C283DD5E-DF49-46FE-8A2A-23393F0055C0}">
      <formula1>"35, 50, 65"</formula1>
    </dataValidation>
    <dataValidation type="list" allowBlank="1" showInputMessage="1" showErrorMessage="1" sqref="C23 Y44" xr:uid="{8C96D73B-92D6-47F7-B484-367809E7CC3B}">
      <formula1>"2000, 2500, 2750, 3000, 4000"</formula1>
    </dataValidation>
    <dataValidation type="list" allowBlank="1" showInputMessage="1" showErrorMessage="1" sqref="C5 Y34" xr:uid="{35785FF2-DB02-4E2B-9F90-0374C23A3E18}">
      <formula1>"0.00434"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C590-E9CE-4438-BA69-F81F6C6564EA}">
  <dimension ref="A1"/>
  <sheetViews>
    <sheetView zoomScale="70" zoomScaleNormal="70" workbookViewId="0">
      <selection activeCell="AK34" sqref="AK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F375D-B296-42A8-9D90-CC2D94B2642C}">
  <dimension ref="A1"/>
  <sheetViews>
    <sheetView zoomScale="90" zoomScaleNormal="90" workbookViewId="0">
      <selection activeCell="O34" sqref="O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41107-977A-40DA-9F99-96141BABF366}">
  <dimension ref="A1"/>
  <sheetViews>
    <sheetView workbookViewId="0">
      <selection activeCell="T10" sqref="T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36F4-E9B0-4B8E-A75A-F1F17A62C4A3}">
  <dimension ref="A1"/>
  <sheetViews>
    <sheetView tabSelected="1" workbookViewId="0">
      <selection activeCell="H29" sqref="H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Flux Chart</vt:lpstr>
      <vt:lpstr>Cumulative Volume Graph</vt:lpstr>
      <vt:lpstr>Average Flux and Cum. Volume</vt:lpstr>
      <vt:lpstr>Recovery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Azeez Ismail</dc:creator>
  <cp:lastModifiedBy>Abdul Azeez</cp:lastModifiedBy>
  <dcterms:created xsi:type="dcterms:W3CDTF">2021-03-16T16:38:26Z</dcterms:created>
  <dcterms:modified xsi:type="dcterms:W3CDTF">2022-02-12T12:57:47Z</dcterms:modified>
</cp:coreProperties>
</file>