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6885" activeTab="3"/>
  </bookViews>
  <sheets>
    <sheet name="CPUT Poultry Project 2020 (2)" sheetId="5" r:id="rId1"/>
    <sheet name="Sheet3" sheetId="7" r:id="rId2"/>
    <sheet name="CPUT Poultry Project 2020" sheetId="1" r:id="rId3"/>
    <sheet name="PRE-TREATMENT" sheetId="4" r:id="rId4"/>
    <sheet name="SGBR" sheetId="6" r:id="rId5"/>
    <sheet name="Sheet1" sheetId="2" r:id="rId6"/>
    <sheet name="Sheet2" sheetId="3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K3" i="1" l="1"/>
  <c r="J3" i="1"/>
  <c r="O6" i="6"/>
  <c r="K55" i="5"/>
  <c r="O5" i="6"/>
  <c r="M5" i="6"/>
  <c r="F73" i="5" l="1"/>
  <c r="F71" i="5"/>
  <c r="F69" i="5"/>
  <c r="F67" i="5"/>
  <c r="F65" i="5"/>
  <c r="F63" i="5"/>
  <c r="F61" i="5"/>
  <c r="D57" i="5"/>
  <c r="BC38" i="6"/>
  <c r="BC40" i="6"/>
  <c r="BC42" i="6"/>
  <c r="BC44" i="6"/>
  <c r="BC46" i="6"/>
  <c r="BC48" i="6"/>
  <c r="BC50" i="6"/>
  <c r="BC52" i="6"/>
  <c r="BC54" i="6"/>
  <c r="BC56" i="6"/>
  <c r="BC58" i="6"/>
  <c r="BC62" i="6"/>
  <c r="BC64" i="6"/>
  <c r="BC66" i="6"/>
  <c r="BC68" i="6"/>
  <c r="BC36" i="6"/>
  <c r="BC34" i="6"/>
  <c r="V54" i="6" l="1"/>
  <c r="V56" i="6"/>
  <c r="AB68" i="6"/>
  <c r="V68" i="6" s="1"/>
  <c r="AB66" i="6"/>
  <c r="V66" i="6" s="1"/>
  <c r="AB64" i="6"/>
  <c r="V64" i="6" s="1"/>
  <c r="AB62" i="6"/>
  <c r="V62" i="6" s="1"/>
  <c r="AB58" i="6"/>
  <c r="V58" i="6" s="1"/>
  <c r="AB52" i="6"/>
  <c r="V52" i="6" s="1"/>
  <c r="AB50" i="6"/>
  <c r="V50" i="6" s="1"/>
  <c r="AB48" i="6"/>
  <c r="V48" i="6" s="1"/>
  <c r="AB46" i="6"/>
  <c r="V46" i="6" s="1"/>
  <c r="AB44" i="6"/>
  <c r="V44" i="6" s="1"/>
  <c r="AB42" i="6"/>
  <c r="V42" i="6" s="1"/>
  <c r="AB40" i="6"/>
  <c r="V40" i="6" s="1"/>
  <c r="AB38" i="6"/>
  <c r="V38" i="6" s="1"/>
  <c r="AB36" i="6"/>
  <c r="V36" i="6" s="1"/>
  <c r="AB34" i="6"/>
  <c r="V34" i="6" s="1"/>
  <c r="Z34" i="6"/>
  <c r="I66" i="6"/>
  <c r="I68" i="6"/>
  <c r="I38" i="6"/>
  <c r="I36" i="6"/>
  <c r="I34" i="6"/>
  <c r="N32" i="5" l="1"/>
  <c r="N22" i="5"/>
  <c r="N16" i="5"/>
  <c r="N9" i="5"/>
  <c r="N7" i="5"/>
  <c r="N5" i="5"/>
  <c r="N3" i="5"/>
  <c r="D55" i="5"/>
  <c r="N46" i="5" s="1"/>
  <c r="L45" i="5"/>
  <c r="L43" i="5"/>
  <c r="L31" i="5"/>
  <c r="L28" i="5"/>
  <c r="L19" i="5"/>
  <c r="L10" i="5"/>
  <c r="L17" i="5"/>
  <c r="L3" i="5"/>
  <c r="D53" i="5"/>
  <c r="L34" i="5" s="1"/>
  <c r="A69" i="6"/>
  <c r="K48" i="5"/>
  <c r="K47" i="5"/>
  <c r="K46" i="5"/>
  <c r="K45" i="5"/>
  <c r="K44" i="5"/>
  <c r="K43" i="5"/>
  <c r="K41" i="5"/>
  <c r="K40" i="5"/>
  <c r="K37" i="5"/>
  <c r="K36" i="5"/>
  <c r="K35" i="5"/>
  <c r="K34" i="5"/>
  <c r="K29" i="5"/>
  <c r="K28" i="5"/>
  <c r="K26" i="5"/>
  <c r="K25" i="5"/>
  <c r="K23" i="5"/>
  <c r="K22" i="5"/>
  <c r="K32" i="5"/>
  <c r="K31" i="5"/>
  <c r="K20" i="5"/>
  <c r="K19" i="5"/>
  <c r="K18" i="5"/>
  <c r="K17" i="5"/>
  <c r="K16" i="5"/>
  <c r="K15" i="5"/>
  <c r="D51" i="5"/>
  <c r="K10" i="5" s="1"/>
  <c r="K5" i="5" l="1"/>
  <c r="K9" i="5"/>
  <c r="L6" i="5"/>
  <c r="L40" i="5"/>
  <c r="K3" i="5"/>
  <c r="K7" i="5"/>
  <c r="L15" i="5"/>
  <c r="L23" i="5"/>
  <c r="L36" i="5"/>
  <c r="N18" i="5"/>
  <c r="N29" i="5"/>
  <c r="N37" i="5"/>
  <c r="N44" i="5"/>
  <c r="N48" i="5"/>
  <c r="K4" i="5"/>
  <c r="K6" i="5"/>
  <c r="K8" i="5"/>
  <c r="L4" i="5"/>
  <c r="L8" i="5"/>
  <c r="L25" i="5"/>
  <c r="L47" i="5"/>
  <c r="N20" i="5"/>
  <c r="N26" i="5"/>
  <c r="N35" i="5"/>
  <c r="N41" i="5"/>
  <c r="C2" i="4"/>
  <c r="D2" i="4"/>
  <c r="E2" i="4"/>
  <c r="F2" i="4"/>
  <c r="G2" i="4"/>
  <c r="H2" i="4"/>
  <c r="C4" i="4"/>
  <c r="D4" i="4"/>
  <c r="E4" i="4"/>
  <c r="F4" i="4"/>
  <c r="G4" i="4"/>
  <c r="H4" i="4"/>
  <c r="C6" i="4"/>
  <c r="D6" i="4"/>
  <c r="E6" i="4"/>
  <c r="F6" i="4"/>
  <c r="G6" i="4"/>
  <c r="H6" i="4"/>
  <c r="C8" i="4"/>
  <c r="D8" i="4"/>
  <c r="E8" i="4"/>
  <c r="F8" i="4"/>
  <c r="G8" i="4"/>
  <c r="H8" i="4"/>
  <c r="C10" i="4"/>
  <c r="D10" i="4"/>
  <c r="E10" i="4"/>
  <c r="F10" i="4"/>
  <c r="G10" i="4"/>
  <c r="H10" i="4"/>
  <c r="C11" i="4"/>
  <c r="D11" i="4"/>
  <c r="E11" i="4"/>
  <c r="F11" i="4"/>
  <c r="G11" i="4"/>
  <c r="H11" i="4"/>
  <c r="C13" i="4"/>
  <c r="D13" i="4"/>
  <c r="E13" i="4"/>
  <c r="F13" i="4"/>
  <c r="G13" i="4"/>
  <c r="H13" i="4"/>
  <c r="C15" i="4"/>
  <c r="D15" i="4"/>
  <c r="E15" i="4"/>
  <c r="F15" i="4"/>
  <c r="G15" i="4"/>
  <c r="H15" i="4"/>
  <c r="C17" i="4"/>
  <c r="D17" i="4"/>
  <c r="E17" i="4"/>
  <c r="F17" i="4"/>
  <c r="G17" i="4"/>
  <c r="H17" i="4"/>
  <c r="C19" i="4"/>
  <c r="D19" i="4"/>
  <c r="E19" i="4"/>
  <c r="F19" i="4"/>
  <c r="G19" i="4"/>
  <c r="H19" i="4"/>
  <c r="C21" i="4"/>
  <c r="D21" i="4"/>
  <c r="E21" i="4"/>
  <c r="F21" i="4"/>
  <c r="G21" i="4"/>
  <c r="H21" i="4"/>
  <c r="C23" i="4"/>
  <c r="D23" i="4"/>
  <c r="E23" i="4"/>
  <c r="F23" i="4"/>
  <c r="G23" i="4"/>
  <c r="H23" i="4"/>
  <c r="C24" i="4"/>
  <c r="D24" i="4"/>
  <c r="E24" i="4"/>
  <c r="F24" i="4"/>
  <c r="G24" i="4"/>
  <c r="H24" i="4"/>
  <c r="C25" i="4"/>
  <c r="D25" i="4"/>
  <c r="E25" i="4"/>
  <c r="F25" i="4"/>
  <c r="G25" i="4"/>
  <c r="H25" i="4"/>
  <c r="A2" i="4"/>
  <c r="A4" i="4"/>
  <c r="A6" i="4"/>
  <c r="A8" i="4"/>
  <c r="A10" i="4"/>
  <c r="A11" i="4"/>
  <c r="A13" i="4"/>
  <c r="A15" i="4"/>
  <c r="A17" i="4"/>
  <c r="A19" i="4"/>
  <c r="A21" i="4"/>
  <c r="A23" i="4"/>
  <c r="A24" i="4"/>
  <c r="A25" i="4"/>
  <c r="AA14" i="3" l="1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Y66" i="6" l="1"/>
  <c r="Z66" i="6" s="1"/>
  <c r="Y38" i="6"/>
  <c r="Z38" i="6" s="1"/>
  <c r="Y42" i="6"/>
  <c r="Z42" i="6" s="1"/>
  <c r="Y46" i="6"/>
  <c r="Z46" i="6" s="1"/>
  <c r="Y50" i="6"/>
  <c r="Z50" i="6" s="1"/>
  <c r="Y54" i="6"/>
  <c r="Z54" i="6" s="1"/>
  <c r="Y58" i="6"/>
  <c r="Z58" i="6" s="1"/>
  <c r="Y64" i="6"/>
  <c r="Z64" i="6" s="1"/>
  <c r="Y68" i="6"/>
  <c r="Z68" i="6" s="1"/>
  <c r="Y40" i="6"/>
  <c r="Z40" i="6" s="1"/>
  <c r="Y44" i="6"/>
  <c r="Z44" i="6" s="1"/>
  <c r="Y48" i="6"/>
  <c r="Z48" i="6" s="1"/>
  <c r="Y52" i="6"/>
  <c r="Z52" i="6" s="1"/>
  <c r="Y56" i="6"/>
  <c r="Z56" i="6" s="1"/>
  <c r="Y62" i="6"/>
  <c r="Z62" i="6" s="1"/>
  <c r="Y36" i="6"/>
  <c r="Z36" i="6" s="1"/>
</calcChain>
</file>

<file path=xl/sharedStrings.xml><?xml version="1.0" encoding="utf-8"?>
<sst xmlns="http://schemas.openxmlformats.org/spreadsheetml/2006/main" count="538" uniqueCount="170">
  <si>
    <t>Sampling Point</t>
  </si>
  <si>
    <t>Sampled Date</t>
  </si>
  <si>
    <t>Alkalinity (mg/L)</t>
  </si>
  <si>
    <t>BOD (mg/L)</t>
  </si>
  <si>
    <t>COD (mg/L)</t>
  </si>
  <si>
    <t>Fats (mg/L)</t>
  </si>
  <si>
    <t>Suspended Solids 105 C (mg/L)</t>
  </si>
  <si>
    <t>Total Dissolved Solids (mg/L)</t>
  </si>
  <si>
    <t>CPUT_RAW_POULTRY_EFF</t>
  </si>
  <si>
    <t>-</t>
  </si>
  <si>
    <t>CPUT_BIOERG_EGSB</t>
  </si>
  <si>
    <t>CPUT_BIOERG_SGBR</t>
  </si>
  <si>
    <t>CPUT_BIOERG_PRETREAT</t>
  </si>
  <si>
    <t>CPUT_BIOERG_SND_EGSB</t>
  </si>
  <si>
    <t>CPUT_BIOERG_SND_SGBR</t>
  </si>
  <si>
    <t>Week</t>
  </si>
  <si>
    <t>Week 1</t>
  </si>
  <si>
    <t>Week 2</t>
  </si>
  <si>
    <t>Week 3</t>
  </si>
  <si>
    <t>Week 4</t>
  </si>
  <si>
    <t>Week 5</t>
  </si>
  <si>
    <t>Week 6</t>
  </si>
  <si>
    <t>SGBR Volume (L)</t>
  </si>
  <si>
    <t>SGBR feed flow rates (L/h)</t>
  </si>
  <si>
    <t>Low</t>
  </si>
  <si>
    <t>Medium</t>
  </si>
  <si>
    <t>High</t>
  </si>
  <si>
    <t>1 ppm =</t>
  </si>
  <si>
    <t>x EC mS/cm</t>
  </si>
  <si>
    <t>Week 1 (26/12/2019 to 30/12/2019)</t>
  </si>
  <si>
    <t>Week 2 (10/02/2020 to 14/02/2020)</t>
  </si>
  <si>
    <t>Week 3 (17/02/2020 to 21/02/2020)</t>
  </si>
  <si>
    <t>Week 4 (20/02/2020 to 31/01/2020)</t>
  </si>
  <si>
    <t>Monday Sample</t>
  </si>
  <si>
    <t>Wednesday  Sample</t>
  </si>
  <si>
    <t>Friday Sample</t>
  </si>
  <si>
    <t>Average</t>
  </si>
  <si>
    <t>Rep Sample</t>
  </si>
  <si>
    <t>Name of sampler:</t>
  </si>
  <si>
    <t>Parameter</t>
  </si>
  <si>
    <t>Unit</t>
  </si>
  <si>
    <t>Product</t>
  </si>
  <si>
    <t xml:space="preserve">Q </t>
  </si>
  <si>
    <t>L/h</t>
  </si>
  <si>
    <t>OLR</t>
  </si>
  <si>
    <t>mg COD/L.h</t>
  </si>
  <si>
    <t>HRT</t>
  </si>
  <si>
    <t>h</t>
  </si>
  <si>
    <t>pH</t>
  </si>
  <si>
    <t>EC</t>
  </si>
  <si>
    <t>mS/cm</t>
  </si>
  <si>
    <t>ORP</t>
  </si>
  <si>
    <t>mV</t>
  </si>
  <si>
    <t>Temp</t>
  </si>
  <si>
    <t>degC</t>
  </si>
  <si>
    <t>TSS</t>
  </si>
  <si>
    <t>mg/L</t>
  </si>
  <si>
    <t>TDS</t>
  </si>
  <si>
    <t>ppm</t>
  </si>
  <si>
    <t>VSS</t>
  </si>
  <si>
    <t>TKN</t>
  </si>
  <si>
    <t>*VFA</t>
  </si>
  <si>
    <t>Alkalinity</t>
  </si>
  <si>
    <t xml:space="preserve">BOD </t>
  </si>
  <si>
    <t xml:space="preserve">COD </t>
  </si>
  <si>
    <t xml:space="preserve">*FOG </t>
  </si>
  <si>
    <t>*DO</t>
  </si>
  <si>
    <t>%</t>
  </si>
  <si>
    <r>
      <t>*NH</t>
    </r>
    <r>
      <rPr>
        <vertAlign val="subscript"/>
        <sz val="12"/>
        <color rgb="FF000000"/>
        <rFont val="Arial"/>
        <family val="2"/>
      </rPr>
      <t>4</t>
    </r>
    <r>
      <rPr>
        <vertAlign val="superscript"/>
        <sz val="12"/>
        <color rgb="FF000000"/>
        <rFont val="Arial"/>
        <family val="2"/>
      </rPr>
      <t>+</t>
    </r>
    <r>
      <rPr>
        <sz val="12"/>
        <color rgb="FF000000"/>
        <rFont val="Arial"/>
        <family val="2"/>
      </rPr>
      <t xml:space="preserve"> -N</t>
    </r>
  </si>
  <si>
    <r>
      <t>NO</t>
    </r>
    <r>
      <rPr>
        <vertAlign val="subscript"/>
        <sz val="11"/>
        <color rgb="FF000000"/>
        <rFont val="Arial"/>
        <family val="2"/>
      </rPr>
      <t>2</t>
    </r>
    <r>
      <rPr>
        <vertAlign val="superscript"/>
        <sz val="11"/>
        <color rgb="FF000000"/>
        <rFont val="Arial"/>
        <family val="2"/>
      </rPr>
      <t>-</t>
    </r>
  </si>
  <si>
    <r>
      <t>*NO</t>
    </r>
    <r>
      <rPr>
        <vertAlign val="subscript"/>
        <sz val="12"/>
        <color rgb="FF000000"/>
        <rFont val="Arial"/>
        <family val="2"/>
      </rPr>
      <t>3</t>
    </r>
    <r>
      <rPr>
        <vertAlign val="superscript"/>
        <sz val="12"/>
        <color rgb="FF000000"/>
        <rFont val="Arial"/>
        <family val="2"/>
      </rPr>
      <t>+</t>
    </r>
    <r>
      <rPr>
        <sz val="12"/>
        <color rgb="FF000000"/>
        <rFont val="Arial"/>
        <family val="2"/>
      </rPr>
      <t xml:space="preserve"> -N </t>
    </r>
  </si>
  <si>
    <r>
      <t>*PO</t>
    </r>
    <r>
      <rPr>
        <vertAlign val="subscript"/>
        <sz val="12"/>
        <color rgb="FF000000"/>
        <rFont val="Arial"/>
        <family val="2"/>
      </rPr>
      <t>4</t>
    </r>
    <r>
      <rPr>
        <vertAlign val="superscript"/>
        <sz val="12"/>
        <color rgb="FF000000"/>
        <rFont val="Arial"/>
        <family val="2"/>
      </rPr>
      <t>3-</t>
    </r>
    <r>
      <rPr>
        <sz val="12"/>
        <color rgb="FF000000"/>
        <rFont val="Arial"/>
        <family val="2"/>
      </rPr>
      <t xml:space="preserve"> -P</t>
    </r>
  </si>
  <si>
    <t>6.8</t>
  </si>
  <si>
    <t>6.84</t>
  </si>
  <si>
    <t>6.78</t>
  </si>
  <si>
    <t>6.83</t>
  </si>
  <si>
    <t>6.81</t>
  </si>
  <si>
    <t>Biogas production</t>
  </si>
  <si>
    <t>Operational Time (days)</t>
  </si>
  <si>
    <t>Methane gas production</t>
  </si>
  <si>
    <t>CH4 production</t>
  </si>
  <si>
    <t>days</t>
  </si>
  <si>
    <t>CPUT RAW</t>
  </si>
  <si>
    <t>RAW 06/04  PRE-TREATMENT</t>
  </si>
  <si>
    <t>RAW 13/4  PRE-TREATMENT</t>
  </si>
  <si>
    <t>1 week JAN</t>
  </si>
  <si>
    <t>2 week JAN</t>
  </si>
  <si>
    <t>3 week JAN</t>
  </si>
  <si>
    <t>4 week FEB</t>
  </si>
  <si>
    <t>5 week FEB</t>
  </si>
  <si>
    <t>6 week FEB</t>
  </si>
  <si>
    <t>7 week FEB</t>
  </si>
  <si>
    <t>WEEKS</t>
  </si>
  <si>
    <t>8 week MAR</t>
  </si>
  <si>
    <t>9 week MAR</t>
  </si>
  <si>
    <t>10 week MAR</t>
  </si>
  <si>
    <t>RAW 23/4  PRE-TREATMENT</t>
  </si>
  <si>
    <t>RAW 15/4  PRE-TREATMENT</t>
  </si>
  <si>
    <t>15 week MAY</t>
  </si>
  <si>
    <t>11 week APR</t>
  </si>
  <si>
    <t>12 week APR</t>
  </si>
  <si>
    <t>13 week APR</t>
  </si>
  <si>
    <t>14 week APR</t>
  </si>
  <si>
    <t>16 week MAY</t>
  </si>
  <si>
    <t>17 week MAY</t>
  </si>
  <si>
    <t>18 week MAY</t>
  </si>
  <si>
    <t>LOCK DOWN</t>
  </si>
  <si>
    <t>COD%</t>
  </si>
  <si>
    <t>AVG RAW FED  COD</t>
  </si>
  <si>
    <t>E21 or D51</t>
  </si>
  <si>
    <t>AVG</t>
  </si>
  <si>
    <t>PRE-TREATMENT</t>
  </si>
  <si>
    <t>SGBR</t>
  </si>
  <si>
    <t>DAYS</t>
  </si>
  <si>
    <t>AVG COD</t>
  </si>
  <si>
    <t>AVG FATS</t>
  </si>
  <si>
    <t>D53 OR F21</t>
  </si>
  <si>
    <t>FOG% (PRE-TREATMENT)</t>
  </si>
  <si>
    <t>1478mg/l - 475 mg/l</t>
  </si>
  <si>
    <t>FOG% Removal efficiency</t>
  </si>
  <si>
    <t>FOG Out-put (mg/L)</t>
  </si>
  <si>
    <t>ALK</t>
  </si>
  <si>
    <t>BOD%</t>
  </si>
  <si>
    <t>Overall</t>
  </si>
  <si>
    <t>In-put mg/L</t>
  </si>
  <si>
    <t>AVG TSS</t>
  </si>
  <si>
    <t>D55</t>
  </si>
  <si>
    <t>In-put (mg/L)</t>
  </si>
  <si>
    <t>Out-put (mg/L)</t>
  </si>
  <si>
    <t>TSS Removal efficiency</t>
  </si>
  <si>
    <t xml:space="preserve">TSS% Removal efficiency </t>
  </si>
  <si>
    <t>ORL</t>
  </si>
  <si>
    <t>ORL = (COD*Q)/V (Kg COD/m3.day)</t>
  </si>
  <si>
    <t>HRT (hr)</t>
  </si>
  <si>
    <t xml:space="preserve">ORL </t>
  </si>
  <si>
    <t>g/L</t>
  </si>
  <si>
    <t>ORL (g COD/L.day)</t>
  </si>
  <si>
    <t>COD% Removal</t>
  </si>
  <si>
    <t>TDS In (mg/L)</t>
  </si>
  <si>
    <t>TDS Out (mg/L)</t>
  </si>
  <si>
    <t>Temp 0C</t>
  </si>
  <si>
    <t>pH and Temperature</t>
  </si>
  <si>
    <t>VFA/Alkalinity</t>
  </si>
  <si>
    <t>VFA (mg/L)</t>
  </si>
  <si>
    <t>BOD5 % Removal</t>
  </si>
  <si>
    <t>BOD Removal</t>
  </si>
  <si>
    <t>BOD5% Removal</t>
  </si>
  <si>
    <t xml:space="preserve">Weeks </t>
  </si>
  <si>
    <t>BOD5 Out-put (mg/L)</t>
  </si>
  <si>
    <t>BOD In-put (mg/L)</t>
  </si>
  <si>
    <t>Raw PSW feed</t>
  </si>
  <si>
    <t>SGBR Out-put</t>
  </si>
  <si>
    <t>COD</t>
  </si>
  <si>
    <t>Efficiency</t>
  </si>
  <si>
    <t>PH</t>
  </si>
  <si>
    <t>Temperature</t>
  </si>
  <si>
    <t>Overall Removal SGBR</t>
  </si>
  <si>
    <t>Overall Removal EGSB</t>
  </si>
  <si>
    <t>COD EGSB</t>
  </si>
  <si>
    <t>TSS EGSB</t>
  </si>
  <si>
    <t>OLR (g COD/L.day)</t>
  </si>
  <si>
    <t>TSS % Removal</t>
  </si>
  <si>
    <t>FOG % Removal</t>
  </si>
  <si>
    <t>ALL IN ONE GRAPH PLOT (COD, TSS, FOG</t>
  </si>
  <si>
    <t>FOG</t>
  </si>
  <si>
    <t xml:space="preserve">Fed to SGBR </t>
  </si>
  <si>
    <t>Overall Removal range</t>
  </si>
  <si>
    <t>COMBINED CHART</t>
  </si>
  <si>
    <t>Range</t>
  </si>
  <si>
    <t>1478 -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</si>
</sst>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2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2">
    <xf numFmtId="0" fontId="0" fillId="0" borderId="0" xfId="0"/>
    <xf numFmtId="22" fontId="0" fillId="0" borderId="0" xfId="0" applyNumberFormat="1"/>
    <xf numFmtId="0" fontId="0" fillId="33" borderId="0" xfId="0" applyFill="1"/>
    <xf numFmtId="0" fontId="18" fillId="0" borderId="10" xfId="0" applyFont="1" applyBorder="1" applyAlignment="1"/>
    <xf numFmtId="0" fontId="19" fillId="0" borderId="11" xfId="0" applyFont="1" applyBorder="1" applyAlignment="1"/>
    <xf numFmtId="0" fontId="19" fillId="0" borderId="0" xfId="0" applyFont="1" applyAlignment="1"/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/>
    <xf numFmtId="0" fontId="19" fillId="34" borderId="0" xfId="0" applyFont="1" applyFill="1"/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/>
    <xf numFmtId="0" fontId="19" fillId="35" borderId="0" xfId="0" applyFont="1" applyFill="1" applyBorder="1"/>
    <xf numFmtId="0" fontId="19" fillId="0" borderId="0" xfId="0" applyFont="1" applyAlignment="1">
      <alignment horizontal="center" vertical="center"/>
    </xf>
    <xf numFmtId="0" fontId="18" fillId="0" borderId="13" xfId="0" applyFont="1" applyBorder="1"/>
    <xf numFmtId="0" fontId="18" fillId="0" borderId="13" xfId="0" applyFont="1" applyBorder="1" applyAlignment="1">
      <alignment horizontal="center" vertical="center"/>
    </xf>
    <xf numFmtId="164" fontId="19" fillId="0" borderId="0" xfId="0" applyNumberFormat="1" applyFont="1" applyAlignment="1"/>
    <xf numFmtId="0" fontId="21" fillId="35" borderId="13" xfId="0" applyFont="1" applyFill="1" applyBorder="1" applyAlignment="1">
      <alignment horizontal="left" vertical="center"/>
    </xf>
    <xf numFmtId="0" fontId="22" fillId="35" borderId="13" xfId="0" applyFont="1" applyFill="1" applyBorder="1" applyAlignment="1">
      <alignment horizontal="left" vertical="center"/>
    </xf>
    <xf numFmtId="0" fontId="19" fillId="0" borderId="13" xfId="0" applyFont="1" applyBorder="1"/>
    <xf numFmtId="0" fontId="19" fillId="0" borderId="17" xfId="0" applyFont="1" applyBorder="1"/>
    <xf numFmtId="0" fontId="19" fillId="0" borderId="0" xfId="0" applyFont="1" applyBorder="1"/>
    <xf numFmtId="164" fontId="19" fillId="0" borderId="13" xfId="0" applyNumberFormat="1" applyFont="1" applyBorder="1"/>
    <xf numFmtId="0" fontId="22" fillId="0" borderId="13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0" fillId="36" borderId="0" xfId="0" applyFill="1"/>
    <xf numFmtId="22" fontId="0" fillId="33" borderId="0" xfId="0" applyNumberFormat="1" applyFill="1"/>
    <xf numFmtId="0" fontId="0" fillId="37" borderId="0" xfId="0" applyFill="1"/>
    <xf numFmtId="0" fontId="0" fillId="37" borderId="19" xfId="0" applyFill="1" applyBorder="1"/>
    <xf numFmtId="22" fontId="0" fillId="37" borderId="20" xfId="0" applyNumberFormat="1" applyFill="1" applyBorder="1"/>
    <xf numFmtId="0" fontId="0" fillId="37" borderId="20" xfId="0" applyFill="1" applyBorder="1"/>
    <xf numFmtId="0" fontId="0" fillId="37" borderId="21" xfId="0" applyFill="1" applyBorder="1"/>
    <xf numFmtId="0" fontId="0" fillId="0" borderId="22" xfId="0" applyBorder="1"/>
    <xf numFmtId="22" fontId="0" fillId="0" borderId="23" xfId="0" applyNumberFormat="1" applyBorder="1"/>
    <xf numFmtId="0" fontId="0" fillId="0" borderId="23" xfId="0" applyBorder="1"/>
    <xf numFmtId="0" fontId="0" fillId="0" borderId="19" xfId="0" applyBorder="1"/>
    <xf numFmtId="22" fontId="0" fillId="0" borderId="20" xfId="0" applyNumberFormat="1" applyBorder="1"/>
    <xf numFmtId="0" fontId="0" fillId="0" borderId="20" xfId="0" applyBorder="1"/>
    <xf numFmtId="0" fontId="0" fillId="36" borderId="21" xfId="0" applyFill="1" applyBorder="1"/>
    <xf numFmtId="0" fontId="0" fillId="37" borderId="22" xfId="0" applyFill="1" applyBorder="1"/>
    <xf numFmtId="22" fontId="0" fillId="37" borderId="23" xfId="0" applyNumberFormat="1" applyFill="1" applyBorder="1"/>
    <xf numFmtId="0" fontId="0" fillId="37" borderId="23" xfId="0" applyFill="1" applyBorder="1"/>
    <xf numFmtId="0" fontId="0" fillId="37" borderId="24" xfId="0" applyFill="1" applyBorder="1"/>
    <xf numFmtId="0" fontId="0" fillId="0" borderId="0" xfId="0" applyFill="1" applyBorder="1"/>
    <xf numFmtId="0" fontId="0" fillId="36" borderId="24" xfId="0" applyFill="1" applyBorder="1"/>
    <xf numFmtId="0" fontId="0" fillId="38" borderId="0" xfId="0" applyFill="1"/>
    <xf numFmtId="0" fontId="0" fillId="0" borderId="12" xfId="0" applyBorder="1"/>
    <xf numFmtId="0" fontId="0" fillId="36" borderId="12" xfId="0" applyFill="1" applyBorder="1"/>
    <xf numFmtId="0" fontId="0" fillId="33" borderId="12" xfId="0" applyFill="1" applyBorder="1"/>
    <xf numFmtId="22" fontId="0" fillId="33" borderId="12" xfId="0" applyNumberFormat="1" applyFill="1" applyBorder="1"/>
    <xf numFmtId="22" fontId="0" fillId="0" borderId="12" xfId="0" applyNumberFormat="1" applyBorder="1"/>
    <xf numFmtId="0" fontId="0" fillId="38" borderId="12" xfId="0" applyFill="1" applyBorder="1"/>
    <xf numFmtId="22" fontId="0" fillId="37" borderId="12" xfId="0" applyNumberFormat="1" applyFill="1" applyBorder="1"/>
    <xf numFmtId="0" fontId="0" fillId="39" borderId="0" xfId="0" applyFill="1"/>
    <xf numFmtId="0" fontId="0" fillId="40" borderId="0" xfId="0" applyFill="1"/>
    <xf numFmtId="22" fontId="0" fillId="40" borderId="0" xfId="0" applyNumberFormat="1" applyFill="1"/>
    <xf numFmtId="0" fontId="0" fillId="40" borderId="21" xfId="0" applyFill="1" applyBorder="1"/>
    <xf numFmtId="0" fontId="0" fillId="33" borderId="0" xfId="0" applyFill="1"/>
    <xf numFmtId="0" fontId="0" fillId="0" borderId="0" xfId="0"/>
    <xf numFmtId="0" fontId="0" fillId="38" borderId="19" xfId="0" applyFill="1" applyBorder="1"/>
    <xf numFmtId="22" fontId="0" fillId="38" borderId="25" xfId="0" applyNumberFormat="1" applyFill="1" applyBorder="1"/>
    <xf numFmtId="0" fontId="0" fillId="38" borderId="21" xfId="0" applyFill="1" applyBorder="1"/>
    <xf numFmtId="0" fontId="0" fillId="38" borderId="20" xfId="0" applyFill="1" applyBorder="1" applyAlignment="1">
      <alignment horizontal="right"/>
    </xf>
    <xf numFmtId="2" fontId="0" fillId="38" borderId="20" xfId="0" applyNumberFormat="1" applyFill="1" applyBorder="1" applyAlignment="1">
      <alignment horizontal="right"/>
    </xf>
    <xf numFmtId="0" fontId="0" fillId="38" borderId="21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0" xfId="0" applyAlignment="1">
      <alignment horizontal="right"/>
    </xf>
    <xf numFmtId="22" fontId="0" fillId="38" borderId="20" xfId="0" applyNumberFormat="1" applyFill="1" applyBorder="1"/>
    <xf numFmtId="0" fontId="0" fillId="41" borderId="0" xfId="0" applyFill="1"/>
    <xf numFmtId="0" fontId="0" fillId="0" borderId="0" xfId="0" applyBorder="1" applyAlignment="1">
      <alignment horizontal="right"/>
    </xf>
    <xf numFmtId="0" fontId="0" fillId="0" borderId="26" xfId="0" applyBorder="1"/>
    <xf numFmtId="22" fontId="0" fillId="0" borderId="0" xfId="0" applyNumberFormat="1" applyBorder="1"/>
    <xf numFmtId="0" fontId="0" fillId="0" borderId="27" xfId="0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39" borderId="0" xfId="0" applyFont="1" applyFill="1" applyAlignment="1">
      <alignment horizontal="center"/>
    </xf>
    <xf numFmtId="0" fontId="0" fillId="34" borderId="0" xfId="0" applyFill="1"/>
    <xf numFmtId="0" fontId="0" fillId="37" borderId="12" xfId="0" applyFill="1" applyBorder="1"/>
    <xf numFmtId="0" fontId="0" fillId="34" borderId="12" xfId="0" applyFill="1" applyBorder="1"/>
    <xf numFmtId="0" fontId="0" fillId="38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Fill="1"/>
    <xf numFmtId="0" fontId="0" fillId="42" borderId="0" xfId="0" applyFill="1"/>
    <xf numFmtId="0" fontId="16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15" xfId="0" applyFont="1" applyBorder="1"/>
    <xf numFmtId="0" fontId="20" fillId="0" borderId="16" xfId="0" applyFont="1" applyBorder="1"/>
    <xf numFmtId="0" fontId="18" fillId="0" borderId="14" xfId="0" applyFont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41738894621536"/>
          <c:y val="0.16679030211783105"/>
          <c:w val="0.85155669041979731"/>
          <c:h val="0.63353212969647998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'CPUT Poultry Project 2020 (2)'!$D$91:$D$96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</c:numCache>
            </c:numRef>
          </c:xVal>
          <c:yVal>
            <c:numRef>
              <c:f>'CPUT Poultry Project 2020 (2)'!$E$91:$E$96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70-411D-BAC5-23EC92777C35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'CPUT Poultry Project 2020 (2)'!$D$91:$D$96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</c:numCache>
            </c:numRef>
          </c:xVal>
          <c:yVal>
            <c:numRef>
              <c:f>'CPUT Poultry Project 2020 (2)'!$F$91:$F$96</c:f>
              <c:numCache>
                <c:formatCode>General</c:formatCode>
                <c:ptCount val="6"/>
                <c:pt idx="0">
                  <c:v>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70-411D-BAC5-23EC92777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312784"/>
        <c:axId val="245313344"/>
      </c:scatterChart>
      <c:valAx>
        <c:axId val="24531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Operational Time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313344"/>
        <c:crosses val="autoZero"/>
        <c:crossBetween val="midCat"/>
      </c:valAx>
      <c:valAx>
        <c:axId val="24531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Methane gas production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312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COD, TSS and FOG removal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'PRE-TREATMENT'!$AN$29</c:f>
              <c:strCache>
                <c:ptCount val="1"/>
                <c:pt idx="0">
                  <c:v>COD% Removal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'PRE-TREATMENT'!$AL$30:$AL$65</c:f>
              <c:numCache>
                <c:formatCode>General</c:formatCode>
                <c:ptCount val="36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</c:numCache>
            </c:numRef>
          </c:xVal>
          <c:yVal>
            <c:numRef>
              <c:f>'PRE-TREATMENT'!$AN$30:$AN$65</c:f>
              <c:numCache>
                <c:formatCode>General</c:formatCode>
                <c:ptCount val="36"/>
                <c:pt idx="1">
                  <c:v>66.446938056659789</c:v>
                </c:pt>
                <c:pt idx="3">
                  <c:v>70.814673174659077</c:v>
                </c:pt>
                <c:pt idx="5">
                  <c:v>82.267397977154928</c:v>
                </c:pt>
                <c:pt idx="7">
                  <c:v>64.695818447139331</c:v>
                </c:pt>
                <c:pt idx="9">
                  <c:v>64.213197969543145</c:v>
                </c:pt>
                <c:pt idx="11">
                  <c:v>49.786802030456847</c:v>
                </c:pt>
                <c:pt idx="13">
                  <c:v>68.568527918781726</c:v>
                </c:pt>
                <c:pt idx="15">
                  <c:v>75.786802030456855</c:v>
                </c:pt>
                <c:pt idx="17">
                  <c:v>76.406091370558372</c:v>
                </c:pt>
                <c:pt idx="19">
                  <c:v>79.543147208121823</c:v>
                </c:pt>
                <c:pt idx="21">
                  <c:v>68.73096446700508</c:v>
                </c:pt>
                <c:pt idx="23">
                  <c:v>63.319796954314725</c:v>
                </c:pt>
                <c:pt idx="25">
                  <c:v>81.289340101522839</c:v>
                </c:pt>
                <c:pt idx="29">
                  <c:v>87.532994923857871</c:v>
                </c:pt>
                <c:pt idx="31">
                  <c:v>81.035532994923855</c:v>
                </c:pt>
                <c:pt idx="33">
                  <c:v>81.878172588832484</c:v>
                </c:pt>
                <c:pt idx="35">
                  <c:v>85.065989847715741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FA-4C39-B5E3-44CF4BC1EB7C}"/>
            </c:ext>
          </c:extLst>
        </c:ser>
        <c:ser>
          <c:idx val="2"/>
          <c:order val="1"/>
          <c:tx>
            <c:strRef>
              <c:f>'PRE-TREATMENT'!$AO$29</c:f>
              <c:strCache>
                <c:ptCount val="1"/>
                <c:pt idx="0">
                  <c:v>TSS % Removal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'PRE-TREATMENT'!$AL$30:$AL$65</c:f>
              <c:numCache>
                <c:formatCode>General</c:formatCode>
                <c:ptCount val="36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</c:numCache>
            </c:numRef>
          </c:xVal>
          <c:yVal>
            <c:numRef>
              <c:f>'PRE-TREATMENT'!$AO$30:$AO$65</c:f>
              <c:numCache>
                <c:formatCode>General</c:formatCode>
                <c:ptCount val="36"/>
                <c:pt idx="1">
                  <c:v>92.222222222222229</c:v>
                </c:pt>
                <c:pt idx="3">
                  <c:v>91.944444444444443</c:v>
                </c:pt>
                <c:pt idx="5">
                  <c:v>93.82352941176471</c:v>
                </c:pt>
                <c:pt idx="7">
                  <c:v>98.088235294117638</c:v>
                </c:pt>
                <c:pt idx="9">
                  <c:v>90.638297872340416</c:v>
                </c:pt>
                <c:pt idx="11">
                  <c:v>79.073243647234676</c:v>
                </c:pt>
                <c:pt idx="13">
                  <c:v>92.286995515695068</c:v>
                </c:pt>
                <c:pt idx="15">
                  <c:v>83.290707587382784</c:v>
                </c:pt>
                <c:pt idx="17">
                  <c:v>89.237668161434982</c:v>
                </c:pt>
                <c:pt idx="19">
                  <c:v>87.982062780269061</c:v>
                </c:pt>
                <c:pt idx="21">
                  <c:v>71.717171717171709</c:v>
                </c:pt>
                <c:pt idx="23">
                  <c:v>95.156950672645735</c:v>
                </c:pt>
                <c:pt idx="25">
                  <c:v>94.020926756352765</c:v>
                </c:pt>
                <c:pt idx="29">
                  <c:v>95.575485799701042</c:v>
                </c:pt>
                <c:pt idx="31">
                  <c:v>97.010463378176382</c:v>
                </c:pt>
                <c:pt idx="33">
                  <c:v>95.455904334828105</c:v>
                </c:pt>
                <c:pt idx="35">
                  <c:v>96.651718983557544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FA-4C39-B5E3-44CF4BC1EB7C}"/>
            </c:ext>
          </c:extLst>
        </c:ser>
        <c:ser>
          <c:idx val="3"/>
          <c:order val="2"/>
          <c:tx>
            <c:strRef>
              <c:f>'PRE-TREATMENT'!$AP$29</c:f>
              <c:strCache>
                <c:ptCount val="1"/>
                <c:pt idx="0">
                  <c:v>FOG % Removal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'PRE-TREATMENT'!$AL$30:$AL$65</c:f>
              <c:numCache>
                <c:formatCode>General</c:formatCode>
                <c:ptCount val="36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</c:numCache>
            </c:numRef>
          </c:xVal>
          <c:yVal>
            <c:numRef>
              <c:f>'PRE-TREATMENT'!$AP$30:$AP$65</c:f>
              <c:numCache>
                <c:formatCode>General</c:formatCode>
                <c:ptCount val="36"/>
                <c:pt idx="1">
                  <c:v>96.631578947368425</c:v>
                </c:pt>
                <c:pt idx="3">
                  <c:v>94.315789473684205</c:v>
                </c:pt>
                <c:pt idx="5">
                  <c:v>94.315789473684205</c:v>
                </c:pt>
                <c:pt idx="7">
                  <c:v>89.377537212449255</c:v>
                </c:pt>
                <c:pt idx="9">
                  <c:v>71.578947368421055</c:v>
                </c:pt>
                <c:pt idx="11">
                  <c:v>74.966170500676583</c:v>
                </c:pt>
                <c:pt idx="13">
                  <c:v>93.098782138024362</c:v>
                </c:pt>
                <c:pt idx="15">
                  <c:v>88.421052631578945</c:v>
                </c:pt>
                <c:pt idx="17">
                  <c:v>83.368421052631575</c:v>
                </c:pt>
                <c:pt idx="19">
                  <c:v>85.791610284167803</c:v>
                </c:pt>
                <c:pt idx="21">
                  <c:v>86.73883626522327</c:v>
                </c:pt>
                <c:pt idx="23">
                  <c:v>93.05263157894737</c:v>
                </c:pt>
                <c:pt idx="25">
                  <c:v>83.368421052631575</c:v>
                </c:pt>
                <c:pt idx="29">
                  <c:v>81.05263157894737</c:v>
                </c:pt>
                <c:pt idx="31">
                  <c:v>86.73883626522327</c:v>
                </c:pt>
                <c:pt idx="33">
                  <c:v>92.963464140730721</c:v>
                </c:pt>
                <c:pt idx="35">
                  <c:v>89.473684210526315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FA-4C39-B5E3-44CF4BC1E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897784"/>
        <c:axId val="485903032"/>
      </c:scatterChart>
      <c:valAx>
        <c:axId val="485897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Operating Time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903032"/>
        <c:crosses val="autoZero"/>
        <c:crossBetween val="midCat"/>
      </c:valAx>
      <c:valAx>
        <c:axId val="48590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Removal efficiency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97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SGBR COD% REMOVAL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SGBR!$F$33</c:f>
              <c:strCache>
                <c:ptCount val="1"/>
                <c:pt idx="0">
                  <c:v>COD%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SGBR!$E$34:$E$69</c:f>
              <c:numCache>
                <c:formatCode>General</c:formatCode>
                <c:ptCount val="36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SGBR!$F$34:$F$69</c:f>
              <c:numCache>
                <c:formatCode>General</c:formatCode>
                <c:ptCount val="36"/>
                <c:pt idx="0">
                  <c:v>79.24822623660242</c:v>
                </c:pt>
                <c:pt idx="2">
                  <c:v>90.942484778342475</c:v>
                </c:pt>
                <c:pt idx="4">
                  <c:v>92.794243445881335</c:v>
                </c:pt>
                <c:pt idx="6">
                  <c:v>72.344386856539018</c:v>
                </c:pt>
                <c:pt idx="8">
                  <c:v>82.345177664974628</c:v>
                </c:pt>
                <c:pt idx="10">
                  <c:v>68.73096446700508</c:v>
                </c:pt>
                <c:pt idx="12">
                  <c:v>74.994923857868017</c:v>
                </c:pt>
                <c:pt idx="14">
                  <c:v>84.670050761421322</c:v>
                </c:pt>
                <c:pt idx="16">
                  <c:v>78.304568527918789</c:v>
                </c:pt>
                <c:pt idx="18">
                  <c:v>84.294416243654823</c:v>
                </c:pt>
                <c:pt idx="20">
                  <c:v>83.370558375634516</c:v>
                </c:pt>
                <c:pt idx="22">
                  <c:v>88.081218274111677</c:v>
                </c:pt>
                <c:pt idx="24">
                  <c:v>92.862944162436548</c:v>
                </c:pt>
                <c:pt idx="28">
                  <c:v>88.060913705583758</c:v>
                </c:pt>
                <c:pt idx="30">
                  <c:v>89.898477157360404</c:v>
                </c:pt>
                <c:pt idx="32">
                  <c:v>91.6243654822335</c:v>
                </c:pt>
                <c:pt idx="34">
                  <c:v>92.802030456852791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ED-4924-8940-B7E2E1CC2FA2}"/>
            </c:ext>
          </c:extLst>
        </c:ser>
        <c:ser>
          <c:idx val="1"/>
          <c:order val="1"/>
          <c:tx>
            <c:strRef>
              <c:f>SGBR!$E$33</c:f>
              <c:strCache>
                <c:ptCount val="1"/>
                <c:pt idx="0">
                  <c:v>WEEKS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yVal>
            <c:numRef>
              <c:f>SGBR!$E$34:$E$68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BE-441A-AB62-6092D38E97EA}"/>
            </c:ext>
          </c:extLst>
        </c:ser>
        <c:ser>
          <c:idx val="2"/>
          <c:order val="2"/>
          <c:tx>
            <c:strRef>
              <c:f>SGBR!$G$33</c:f>
              <c:strCache>
                <c:ptCount val="1"/>
                <c:pt idx="0">
                  <c:v>Out-put (mg/L)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SGBR!$E$34:$E$68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SGBR!$G$34:$G$68</c:f>
              <c:numCache>
                <c:formatCode>General</c:formatCode>
                <c:ptCount val="35"/>
                <c:pt idx="0">
                  <c:v>1031</c:v>
                </c:pt>
                <c:pt idx="2">
                  <c:v>450</c:v>
                </c:pt>
                <c:pt idx="4">
                  <c:v>358</c:v>
                </c:pt>
                <c:pt idx="6">
                  <c:v>1374</c:v>
                </c:pt>
                <c:pt idx="8">
                  <c:v>1739</c:v>
                </c:pt>
                <c:pt idx="10">
                  <c:v>3080</c:v>
                </c:pt>
                <c:pt idx="12">
                  <c:v>2463</c:v>
                </c:pt>
                <c:pt idx="14">
                  <c:v>1510</c:v>
                </c:pt>
                <c:pt idx="16">
                  <c:v>2137</c:v>
                </c:pt>
                <c:pt idx="18">
                  <c:v>1547</c:v>
                </c:pt>
                <c:pt idx="20">
                  <c:v>1638</c:v>
                </c:pt>
                <c:pt idx="22">
                  <c:v>1174</c:v>
                </c:pt>
                <c:pt idx="24">
                  <c:v>703</c:v>
                </c:pt>
                <c:pt idx="28">
                  <c:v>17</c:v>
                </c:pt>
                <c:pt idx="30">
                  <c:v>56</c:v>
                </c:pt>
                <c:pt idx="32">
                  <c:v>52</c:v>
                </c:pt>
                <c:pt idx="34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BE-441A-AB62-6092D38E97EA}"/>
            </c:ext>
          </c:extLst>
        </c:ser>
        <c:ser>
          <c:idx val="3"/>
          <c:order val="3"/>
          <c:tx>
            <c:strRef>
              <c:f>SGBR!$H$33</c:f>
              <c:strCache>
                <c:ptCount val="1"/>
                <c:pt idx="0">
                  <c:v>In-put (mg/L)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SGBR!$E$34:$E$68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SGBR!$H$34:$H$68</c:f>
              <c:numCache>
                <c:formatCode>General</c:formatCode>
                <c:ptCount val="35"/>
                <c:pt idx="0">
                  <c:v>4968.25</c:v>
                </c:pt>
                <c:pt idx="2">
                  <c:v>4968.25</c:v>
                </c:pt>
                <c:pt idx="4">
                  <c:v>4968.25</c:v>
                </c:pt>
                <c:pt idx="6">
                  <c:v>4968.25</c:v>
                </c:pt>
                <c:pt idx="8">
                  <c:v>9850</c:v>
                </c:pt>
                <c:pt idx="10">
                  <c:v>9850</c:v>
                </c:pt>
                <c:pt idx="12">
                  <c:v>9850</c:v>
                </c:pt>
                <c:pt idx="14">
                  <c:v>9850</c:v>
                </c:pt>
                <c:pt idx="16">
                  <c:v>9850</c:v>
                </c:pt>
                <c:pt idx="18">
                  <c:v>9850</c:v>
                </c:pt>
                <c:pt idx="20">
                  <c:v>9850</c:v>
                </c:pt>
                <c:pt idx="22">
                  <c:v>9850</c:v>
                </c:pt>
                <c:pt idx="24">
                  <c:v>9850</c:v>
                </c:pt>
                <c:pt idx="28">
                  <c:v>9850</c:v>
                </c:pt>
                <c:pt idx="30">
                  <c:v>9850</c:v>
                </c:pt>
                <c:pt idx="32">
                  <c:v>9850</c:v>
                </c:pt>
                <c:pt idx="34">
                  <c:v>9850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BE-441A-AB62-6092D38E9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844096"/>
        <c:axId val="471851312"/>
      </c:scatterChart>
      <c:valAx>
        <c:axId val="47184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TIME,</a:t>
                </a:r>
                <a:r>
                  <a:rPr lang="en-US" sz="1000" b="1" baseline="0">
                    <a:solidFill>
                      <a:schemeClr val="tx1"/>
                    </a:solidFill>
                  </a:rPr>
                  <a:t> </a:t>
                </a:r>
                <a:r>
                  <a:rPr lang="en-US" sz="1000" b="1">
                    <a:solidFill>
                      <a:schemeClr val="tx1"/>
                    </a:solidFill>
                  </a:rPr>
                  <a:t>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851312"/>
        <c:crosses val="autoZero"/>
        <c:crossBetween val="midCat"/>
      </c:valAx>
      <c:valAx>
        <c:axId val="47185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COD% REMOVAL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844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SGBR COD% REMOVAL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SGBR!$B$35:$B$69</c:f>
              <c:numCache>
                <c:formatCode>General</c:formatCode>
                <c:ptCount val="35"/>
                <c:pt idx="0">
                  <c:v>7</c:v>
                </c:pt>
                <c:pt idx="2">
                  <c:v>14</c:v>
                </c:pt>
                <c:pt idx="4">
                  <c:v>21</c:v>
                </c:pt>
                <c:pt idx="6">
                  <c:v>28</c:v>
                </c:pt>
                <c:pt idx="8">
                  <c:v>35</c:v>
                </c:pt>
                <c:pt idx="10">
                  <c:v>42</c:v>
                </c:pt>
                <c:pt idx="12">
                  <c:v>49</c:v>
                </c:pt>
                <c:pt idx="14">
                  <c:v>56</c:v>
                </c:pt>
                <c:pt idx="16">
                  <c:v>63</c:v>
                </c:pt>
                <c:pt idx="18">
                  <c:v>70</c:v>
                </c:pt>
                <c:pt idx="20">
                  <c:v>77</c:v>
                </c:pt>
                <c:pt idx="22">
                  <c:v>84</c:v>
                </c:pt>
                <c:pt idx="24">
                  <c:v>91</c:v>
                </c:pt>
                <c:pt idx="26">
                  <c:v>98</c:v>
                </c:pt>
                <c:pt idx="28">
                  <c:v>105</c:v>
                </c:pt>
                <c:pt idx="30">
                  <c:v>112</c:v>
                </c:pt>
                <c:pt idx="32">
                  <c:v>119</c:v>
                </c:pt>
                <c:pt idx="34">
                  <c:v>126</c:v>
                </c:pt>
              </c:numCache>
            </c:numRef>
          </c:xVal>
          <c:yVal>
            <c:numRef>
              <c:f>SGBR!$C$35:$C$69</c:f>
              <c:numCache>
                <c:formatCode>General</c:formatCode>
                <c:ptCount val="35"/>
                <c:pt idx="0">
                  <c:v>79.24822623660242</c:v>
                </c:pt>
                <c:pt idx="2">
                  <c:v>90.942484778342475</c:v>
                </c:pt>
                <c:pt idx="4">
                  <c:v>92.794243445881335</c:v>
                </c:pt>
                <c:pt idx="6">
                  <c:v>72.344386856539018</c:v>
                </c:pt>
                <c:pt idx="8">
                  <c:v>82.345177664974628</c:v>
                </c:pt>
                <c:pt idx="10">
                  <c:v>68.73096446700508</c:v>
                </c:pt>
                <c:pt idx="12">
                  <c:v>74.994923857868017</c:v>
                </c:pt>
                <c:pt idx="14">
                  <c:v>84.670050761421322</c:v>
                </c:pt>
                <c:pt idx="16">
                  <c:v>78.304568527918789</c:v>
                </c:pt>
                <c:pt idx="18">
                  <c:v>84.294416243654823</c:v>
                </c:pt>
                <c:pt idx="20">
                  <c:v>83.370558375634516</c:v>
                </c:pt>
                <c:pt idx="22">
                  <c:v>88.081218274111677</c:v>
                </c:pt>
                <c:pt idx="24">
                  <c:v>92.862944162436548</c:v>
                </c:pt>
                <c:pt idx="28">
                  <c:v>88.060913705583758</c:v>
                </c:pt>
                <c:pt idx="30">
                  <c:v>89.898477157360404</c:v>
                </c:pt>
                <c:pt idx="32">
                  <c:v>91.6243654822335</c:v>
                </c:pt>
                <c:pt idx="34">
                  <c:v>92.802030456852791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CD-40A1-8A95-DFB58858C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132728"/>
        <c:axId val="480136992"/>
      </c:scatterChart>
      <c:valAx>
        <c:axId val="480132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TIME,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36992"/>
        <c:crosses val="autoZero"/>
        <c:crossBetween val="midCat"/>
      </c:valAx>
      <c:valAx>
        <c:axId val="48013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COD% REMOVAL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32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TSS% REMOVAL EFFICIENCY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04382517396033"/>
          <c:y val="0.13671951458211001"/>
          <c:w val="0.75283589726005506"/>
          <c:h val="0.59621459610824579"/>
        </c:manualLayout>
      </c:layout>
      <c:scatterChart>
        <c:scatterStyle val="lineMarker"/>
        <c:varyColors val="0"/>
        <c:ser>
          <c:idx val="1"/>
          <c:order val="0"/>
          <c:tx>
            <c:v>TSS Out-put (mg/L)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yVal>
            <c:numRef>
              <c:f>SGBR!$P$34:$P$68</c:f>
              <c:numCache>
                <c:formatCode>General</c:formatCode>
                <c:ptCount val="35"/>
                <c:pt idx="0">
                  <c:v>56</c:v>
                </c:pt>
                <c:pt idx="2">
                  <c:v>58</c:v>
                </c:pt>
                <c:pt idx="4">
                  <c:v>42</c:v>
                </c:pt>
                <c:pt idx="6">
                  <c:v>13</c:v>
                </c:pt>
                <c:pt idx="8">
                  <c:v>88</c:v>
                </c:pt>
                <c:pt idx="10">
                  <c:v>700</c:v>
                </c:pt>
                <c:pt idx="12">
                  <c:v>258</c:v>
                </c:pt>
                <c:pt idx="14">
                  <c:v>196</c:v>
                </c:pt>
                <c:pt idx="16">
                  <c:v>360</c:v>
                </c:pt>
                <c:pt idx="18">
                  <c:v>402</c:v>
                </c:pt>
                <c:pt idx="20">
                  <c:v>56</c:v>
                </c:pt>
                <c:pt idx="22">
                  <c:v>162</c:v>
                </c:pt>
                <c:pt idx="24">
                  <c:v>200</c:v>
                </c:pt>
                <c:pt idx="28">
                  <c:v>184</c:v>
                </c:pt>
                <c:pt idx="30">
                  <c:v>100</c:v>
                </c:pt>
                <c:pt idx="32">
                  <c:v>152</c:v>
                </c:pt>
                <c:pt idx="34">
                  <c:v>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74-485F-8D46-F06D192E9F12}"/>
            </c:ext>
          </c:extLst>
        </c:ser>
        <c:ser>
          <c:idx val="2"/>
          <c:order val="1"/>
          <c:tx>
            <c:v>TSS In-put (mg/L)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yVal>
            <c:numRef>
              <c:f>SGBR!$Q$34:$Q$68</c:f>
              <c:numCache>
                <c:formatCode>General</c:formatCode>
                <c:ptCount val="35"/>
                <c:pt idx="0">
                  <c:v>720</c:v>
                </c:pt>
                <c:pt idx="2">
                  <c:v>720</c:v>
                </c:pt>
                <c:pt idx="4">
                  <c:v>680</c:v>
                </c:pt>
                <c:pt idx="6">
                  <c:v>680</c:v>
                </c:pt>
                <c:pt idx="8">
                  <c:v>940</c:v>
                </c:pt>
                <c:pt idx="10">
                  <c:v>3345</c:v>
                </c:pt>
                <c:pt idx="12">
                  <c:v>3345</c:v>
                </c:pt>
                <c:pt idx="14">
                  <c:v>1173</c:v>
                </c:pt>
                <c:pt idx="16">
                  <c:v>3345</c:v>
                </c:pt>
                <c:pt idx="18">
                  <c:v>3345</c:v>
                </c:pt>
                <c:pt idx="20">
                  <c:v>198</c:v>
                </c:pt>
                <c:pt idx="22">
                  <c:v>3345</c:v>
                </c:pt>
                <c:pt idx="24">
                  <c:v>3345</c:v>
                </c:pt>
                <c:pt idx="28">
                  <c:v>3345</c:v>
                </c:pt>
                <c:pt idx="30">
                  <c:v>3345</c:v>
                </c:pt>
                <c:pt idx="32">
                  <c:v>3345</c:v>
                </c:pt>
                <c:pt idx="34">
                  <c:v>3345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74-485F-8D46-F06D192E9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619808"/>
        <c:axId val="593615872"/>
      </c:scatterChart>
      <c:scatterChart>
        <c:scatterStyle val="lineMarker"/>
        <c:varyColors val="0"/>
        <c:ser>
          <c:idx val="0"/>
          <c:order val="2"/>
          <c:tx>
            <c:v>TSS % Removal efficiency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yVal>
            <c:numRef>
              <c:f>SGBR!$O$34:$O$68</c:f>
              <c:numCache>
                <c:formatCode>General</c:formatCode>
                <c:ptCount val="35"/>
                <c:pt idx="0">
                  <c:v>92.222222222222229</c:v>
                </c:pt>
                <c:pt idx="2">
                  <c:v>91.944444444444443</c:v>
                </c:pt>
                <c:pt idx="4">
                  <c:v>93.82352941176471</c:v>
                </c:pt>
                <c:pt idx="6">
                  <c:v>98.088235294117638</c:v>
                </c:pt>
                <c:pt idx="8">
                  <c:v>90.638297872340416</c:v>
                </c:pt>
                <c:pt idx="10">
                  <c:v>79.073243647234676</c:v>
                </c:pt>
                <c:pt idx="12">
                  <c:v>92.286995515695068</c:v>
                </c:pt>
                <c:pt idx="14">
                  <c:v>83.290707587382784</c:v>
                </c:pt>
                <c:pt idx="16">
                  <c:v>89.237668161434982</c:v>
                </c:pt>
                <c:pt idx="18">
                  <c:v>87.982062780269061</c:v>
                </c:pt>
                <c:pt idx="20">
                  <c:v>71.717171717171709</c:v>
                </c:pt>
                <c:pt idx="22">
                  <c:v>95.156950672645735</c:v>
                </c:pt>
                <c:pt idx="24">
                  <c:v>94.020926756352765</c:v>
                </c:pt>
                <c:pt idx="28">
                  <c:v>95.575485799701042</c:v>
                </c:pt>
                <c:pt idx="30">
                  <c:v>97.010463378176382</c:v>
                </c:pt>
                <c:pt idx="32">
                  <c:v>95.455904334828105</c:v>
                </c:pt>
                <c:pt idx="34">
                  <c:v>96.651718983557544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6374-485F-8D46-F06D192E9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536240"/>
        <c:axId val="591516232"/>
      </c:scatterChart>
      <c:valAx>
        <c:axId val="59361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TIME, 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615872"/>
        <c:crosses val="autoZero"/>
        <c:crossBetween val="midCat"/>
      </c:valAx>
      <c:valAx>
        <c:axId val="59361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TSS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619808"/>
        <c:crosses val="autoZero"/>
        <c:crossBetween val="midCat"/>
      </c:valAx>
      <c:valAx>
        <c:axId val="5915162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TSS % Removal efficiency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536240"/>
        <c:crosses val="max"/>
        <c:crossBetween val="midCat"/>
      </c:valAx>
      <c:valAx>
        <c:axId val="59153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591516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98031255646653"/>
          <c:y val="0.86147010647755096"/>
          <c:w val="0.61961104392380373"/>
          <c:h val="0.102831440056735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TSS% REMOVAL EFFICIENCY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SGBR!$Q$33</c:f>
              <c:strCache>
                <c:ptCount val="1"/>
                <c:pt idx="0">
                  <c:v>In-put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SGBR!$N$34:$N$68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SGBR!$Q$34:$Q$68</c:f>
              <c:numCache>
                <c:formatCode>General</c:formatCode>
                <c:ptCount val="35"/>
                <c:pt idx="0">
                  <c:v>720</c:v>
                </c:pt>
                <c:pt idx="2">
                  <c:v>720</c:v>
                </c:pt>
                <c:pt idx="4">
                  <c:v>680</c:v>
                </c:pt>
                <c:pt idx="6">
                  <c:v>680</c:v>
                </c:pt>
                <c:pt idx="8">
                  <c:v>940</c:v>
                </c:pt>
                <c:pt idx="10">
                  <c:v>3345</c:v>
                </c:pt>
                <c:pt idx="12">
                  <c:v>3345</c:v>
                </c:pt>
                <c:pt idx="14">
                  <c:v>1173</c:v>
                </c:pt>
                <c:pt idx="16">
                  <c:v>3345</c:v>
                </c:pt>
                <c:pt idx="18">
                  <c:v>3345</c:v>
                </c:pt>
                <c:pt idx="20">
                  <c:v>198</c:v>
                </c:pt>
                <c:pt idx="22">
                  <c:v>3345</c:v>
                </c:pt>
                <c:pt idx="24">
                  <c:v>3345</c:v>
                </c:pt>
                <c:pt idx="28">
                  <c:v>3345</c:v>
                </c:pt>
                <c:pt idx="30">
                  <c:v>3345</c:v>
                </c:pt>
                <c:pt idx="32">
                  <c:v>3345</c:v>
                </c:pt>
                <c:pt idx="34">
                  <c:v>3345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36-4B4D-9504-7E11891C1D50}"/>
            </c:ext>
          </c:extLst>
        </c:ser>
        <c:ser>
          <c:idx val="2"/>
          <c:order val="2"/>
          <c:tx>
            <c:strRef>
              <c:f>SGBR!$P$33</c:f>
              <c:strCache>
                <c:ptCount val="1"/>
                <c:pt idx="0">
                  <c:v>Out-put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SGBR!$N$34:$N$68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SGBR!$P$34:$P$68</c:f>
              <c:numCache>
                <c:formatCode>General</c:formatCode>
                <c:ptCount val="35"/>
                <c:pt idx="0">
                  <c:v>56</c:v>
                </c:pt>
                <c:pt idx="2">
                  <c:v>58</c:v>
                </c:pt>
                <c:pt idx="4">
                  <c:v>42</c:v>
                </c:pt>
                <c:pt idx="6">
                  <c:v>13</c:v>
                </c:pt>
                <c:pt idx="8">
                  <c:v>88</c:v>
                </c:pt>
                <c:pt idx="10">
                  <c:v>700</c:v>
                </c:pt>
                <c:pt idx="12">
                  <c:v>258</c:v>
                </c:pt>
                <c:pt idx="14">
                  <c:v>196</c:v>
                </c:pt>
                <c:pt idx="16">
                  <c:v>360</c:v>
                </c:pt>
                <c:pt idx="18">
                  <c:v>402</c:v>
                </c:pt>
                <c:pt idx="20">
                  <c:v>56</c:v>
                </c:pt>
                <c:pt idx="22">
                  <c:v>162</c:v>
                </c:pt>
                <c:pt idx="24">
                  <c:v>200</c:v>
                </c:pt>
                <c:pt idx="28">
                  <c:v>184</c:v>
                </c:pt>
                <c:pt idx="30">
                  <c:v>100</c:v>
                </c:pt>
                <c:pt idx="32">
                  <c:v>152</c:v>
                </c:pt>
                <c:pt idx="34">
                  <c:v>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36-4B4D-9504-7E11891C1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860128"/>
        <c:axId val="481857832"/>
      </c:scatterChart>
      <c:scatterChart>
        <c:scatterStyle val="lineMarker"/>
        <c:varyColors val="0"/>
        <c:ser>
          <c:idx val="0"/>
          <c:order val="0"/>
          <c:tx>
            <c:strRef>
              <c:f>SGBR!$O$33</c:f>
              <c:strCache>
                <c:ptCount val="1"/>
                <c:pt idx="0">
                  <c:v>TSS% Removal efficiency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SGBR!$N$34:$N$68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SGBR!$O$34:$O$68</c:f>
              <c:numCache>
                <c:formatCode>General</c:formatCode>
                <c:ptCount val="35"/>
                <c:pt idx="0">
                  <c:v>92.222222222222229</c:v>
                </c:pt>
                <c:pt idx="2">
                  <c:v>91.944444444444443</c:v>
                </c:pt>
                <c:pt idx="4">
                  <c:v>93.82352941176471</c:v>
                </c:pt>
                <c:pt idx="6">
                  <c:v>98.088235294117638</c:v>
                </c:pt>
                <c:pt idx="8">
                  <c:v>90.638297872340416</c:v>
                </c:pt>
                <c:pt idx="10">
                  <c:v>79.073243647234676</c:v>
                </c:pt>
                <c:pt idx="12">
                  <c:v>92.286995515695068</c:v>
                </c:pt>
                <c:pt idx="14">
                  <c:v>83.290707587382784</c:v>
                </c:pt>
                <c:pt idx="16">
                  <c:v>89.237668161434982</c:v>
                </c:pt>
                <c:pt idx="18">
                  <c:v>87.982062780269061</c:v>
                </c:pt>
                <c:pt idx="20">
                  <c:v>71.717171717171709</c:v>
                </c:pt>
                <c:pt idx="22">
                  <c:v>95.156950672645735</c:v>
                </c:pt>
                <c:pt idx="24">
                  <c:v>94.020926756352765</c:v>
                </c:pt>
                <c:pt idx="28">
                  <c:v>95.575485799701042</c:v>
                </c:pt>
                <c:pt idx="30">
                  <c:v>97.010463378176382</c:v>
                </c:pt>
                <c:pt idx="32">
                  <c:v>95.455904334828105</c:v>
                </c:pt>
                <c:pt idx="34">
                  <c:v>96.651718983557544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36-4B4D-9504-7E11891C1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471016"/>
        <c:axId val="476472984"/>
      </c:scatterChart>
      <c:valAx>
        <c:axId val="48186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TIME, 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857832"/>
        <c:crosses val="autoZero"/>
        <c:crossBetween val="midCat"/>
      </c:valAx>
      <c:valAx>
        <c:axId val="48185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TSS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860128"/>
        <c:crosses val="autoZero"/>
        <c:crossBetween val="midCat"/>
      </c:valAx>
      <c:valAx>
        <c:axId val="4764729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TSS % REMOVAL EFFICIENCY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471016"/>
        <c:crosses val="max"/>
        <c:crossBetween val="midCat"/>
      </c:valAx>
      <c:valAx>
        <c:axId val="476471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6472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DEGBR COD% REMOVAL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SGBR!$G$33</c:f>
              <c:strCache>
                <c:ptCount val="1"/>
                <c:pt idx="0">
                  <c:v>Out-put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SGBR!$E$34:$E$68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SGBR!$G$34:$G$68</c:f>
              <c:numCache>
                <c:formatCode>General</c:formatCode>
                <c:ptCount val="35"/>
                <c:pt idx="0">
                  <c:v>1031</c:v>
                </c:pt>
                <c:pt idx="2">
                  <c:v>450</c:v>
                </c:pt>
                <c:pt idx="4">
                  <c:v>358</c:v>
                </c:pt>
                <c:pt idx="6">
                  <c:v>1374</c:v>
                </c:pt>
                <c:pt idx="8">
                  <c:v>1739</c:v>
                </c:pt>
                <c:pt idx="10">
                  <c:v>3080</c:v>
                </c:pt>
                <c:pt idx="12">
                  <c:v>2463</c:v>
                </c:pt>
                <c:pt idx="14">
                  <c:v>1510</c:v>
                </c:pt>
                <c:pt idx="16">
                  <c:v>2137</c:v>
                </c:pt>
                <c:pt idx="18">
                  <c:v>1547</c:v>
                </c:pt>
                <c:pt idx="20">
                  <c:v>1638</c:v>
                </c:pt>
                <c:pt idx="22">
                  <c:v>1174</c:v>
                </c:pt>
                <c:pt idx="24">
                  <c:v>703</c:v>
                </c:pt>
                <c:pt idx="28">
                  <c:v>17</c:v>
                </c:pt>
                <c:pt idx="30">
                  <c:v>56</c:v>
                </c:pt>
                <c:pt idx="32">
                  <c:v>52</c:v>
                </c:pt>
                <c:pt idx="34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DA-41A0-9F7F-6D3E07DBF134}"/>
            </c:ext>
          </c:extLst>
        </c:ser>
        <c:ser>
          <c:idx val="2"/>
          <c:order val="2"/>
          <c:tx>
            <c:strRef>
              <c:f>SGBR!$H$33</c:f>
              <c:strCache>
                <c:ptCount val="1"/>
                <c:pt idx="0">
                  <c:v>In-put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SGBR!$E$34:$E$68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SGBR!$H$34:$H$68</c:f>
              <c:numCache>
                <c:formatCode>General</c:formatCode>
                <c:ptCount val="35"/>
                <c:pt idx="0">
                  <c:v>4968.25</c:v>
                </c:pt>
                <c:pt idx="2">
                  <c:v>4968.25</c:v>
                </c:pt>
                <c:pt idx="4">
                  <c:v>4968.25</c:v>
                </c:pt>
                <c:pt idx="6">
                  <c:v>4968.25</c:v>
                </c:pt>
                <c:pt idx="8">
                  <c:v>9850</c:v>
                </c:pt>
                <c:pt idx="10">
                  <c:v>9850</c:v>
                </c:pt>
                <c:pt idx="12">
                  <c:v>9850</c:v>
                </c:pt>
                <c:pt idx="14">
                  <c:v>9850</c:v>
                </c:pt>
                <c:pt idx="16">
                  <c:v>9850</c:v>
                </c:pt>
                <c:pt idx="18">
                  <c:v>9850</c:v>
                </c:pt>
                <c:pt idx="20">
                  <c:v>9850</c:v>
                </c:pt>
                <c:pt idx="22">
                  <c:v>9850</c:v>
                </c:pt>
                <c:pt idx="24">
                  <c:v>9850</c:v>
                </c:pt>
                <c:pt idx="28">
                  <c:v>9850</c:v>
                </c:pt>
                <c:pt idx="30">
                  <c:v>9850</c:v>
                </c:pt>
                <c:pt idx="32">
                  <c:v>9850</c:v>
                </c:pt>
                <c:pt idx="34">
                  <c:v>9850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DA-41A0-9F7F-6D3E07DBF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037128"/>
        <c:axId val="344036800"/>
      </c:scatterChart>
      <c:scatterChart>
        <c:scatterStyle val="lineMarker"/>
        <c:varyColors val="0"/>
        <c:ser>
          <c:idx val="0"/>
          <c:order val="0"/>
          <c:tx>
            <c:strRef>
              <c:f>SGBR!$F$33</c:f>
              <c:strCache>
                <c:ptCount val="1"/>
                <c:pt idx="0">
                  <c:v>COD%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SGBR!$E$34:$E$68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SGBR!$F$34:$F$68</c:f>
              <c:numCache>
                <c:formatCode>General</c:formatCode>
                <c:ptCount val="35"/>
                <c:pt idx="0">
                  <c:v>79.24822623660242</c:v>
                </c:pt>
                <c:pt idx="2">
                  <c:v>90.942484778342475</c:v>
                </c:pt>
                <c:pt idx="4">
                  <c:v>92.794243445881335</c:v>
                </c:pt>
                <c:pt idx="6">
                  <c:v>72.344386856539018</c:v>
                </c:pt>
                <c:pt idx="8">
                  <c:v>82.345177664974628</c:v>
                </c:pt>
                <c:pt idx="10">
                  <c:v>68.73096446700508</c:v>
                </c:pt>
                <c:pt idx="12">
                  <c:v>74.994923857868017</c:v>
                </c:pt>
                <c:pt idx="14">
                  <c:v>84.670050761421322</c:v>
                </c:pt>
                <c:pt idx="16">
                  <c:v>78.304568527918789</c:v>
                </c:pt>
                <c:pt idx="18">
                  <c:v>84.294416243654823</c:v>
                </c:pt>
                <c:pt idx="20">
                  <c:v>83.370558375634516</c:v>
                </c:pt>
                <c:pt idx="22">
                  <c:v>88.081218274111677</c:v>
                </c:pt>
                <c:pt idx="24">
                  <c:v>92.862944162436548</c:v>
                </c:pt>
                <c:pt idx="28">
                  <c:v>88.060913705583758</c:v>
                </c:pt>
                <c:pt idx="30">
                  <c:v>89.898477157360404</c:v>
                </c:pt>
                <c:pt idx="32">
                  <c:v>91.6243654822335</c:v>
                </c:pt>
                <c:pt idx="34">
                  <c:v>92.802030456852791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DA-41A0-9F7F-6D3E07DBF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76536"/>
        <c:axId val="349269648"/>
      </c:scatterChart>
      <c:valAx>
        <c:axId val="344037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TIME, 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036800"/>
        <c:crosses val="autoZero"/>
        <c:crossBetween val="midCat"/>
      </c:valAx>
      <c:valAx>
        <c:axId val="34403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COD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037128"/>
        <c:crosses val="autoZero"/>
        <c:crossBetween val="midCat"/>
      </c:valAx>
      <c:valAx>
        <c:axId val="3492696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COD REMOVAL EFFICIENCY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276536"/>
        <c:crosses val="max"/>
        <c:crossBetween val="midCat"/>
      </c:valAx>
      <c:valAx>
        <c:axId val="349276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9269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654418844580023E-2"/>
          <c:y val="0.90250080950817591"/>
          <c:w val="0.79441369384363258"/>
          <c:h val="8.11643283911800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OLR and HRT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SGBR!$V$33</c:f>
              <c:strCache>
                <c:ptCount val="1"/>
                <c:pt idx="0">
                  <c:v>ORL (g COD/L.day)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SGBR!$T$34:$T$68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SGBR!$V$34:$V$68</c:f>
              <c:numCache>
                <c:formatCode>General</c:formatCode>
                <c:ptCount val="35"/>
                <c:pt idx="0">
                  <c:v>5.5674000000000001</c:v>
                </c:pt>
                <c:pt idx="2">
                  <c:v>2.4300000000000002</c:v>
                </c:pt>
                <c:pt idx="4">
                  <c:v>1.9332</c:v>
                </c:pt>
                <c:pt idx="6">
                  <c:v>7.4196000000000009</c:v>
                </c:pt>
                <c:pt idx="8">
                  <c:v>9.3906000000000009</c:v>
                </c:pt>
                <c:pt idx="10">
                  <c:v>16.632000000000001</c:v>
                </c:pt>
                <c:pt idx="12">
                  <c:v>13.300200000000002</c:v>
                </c:pt>
                <c:pt idx="14">
                  <c:v>8.1539999999999999</c:v>
                </c:pt>
                <c:pt idx="16">
                  <c:v>11.539800000000001</c:v>
                </c:pt>
                <c:pt idx="18">
                  <c:v>8.3537999999999997</c:v>
                </c:pt>
                <c:pt idx="20">
                  <c:v>8.8452000000000002</c:v>
                </c:pt>
                <c:pt idx="22">
                  <c:v>6.3395999999999999</c:v>
                </c:pt>
                <c:pt idx="24">
                  <c:v>3.7962000000000002</c:v>
                </c:pt>
                <c:pt idx="28">
                  <c:v>9.1800000000000007E-2</c:v>
                </c:pt>
                <c:pt idx="30">
                  <c:v>0.3024</c:v>
                </c:pt>
                <c:pt idx="32">
                  <c:v>0.28079999999999999</c:v>
                </c:pt>
                <c:pt idx="34">
                  <c:v>0.2646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41-4B3C-B427-310E964029F7}"/>
            </c:ext>
          </c:extLst>
        </c:ser>
        <c:ser>
          <c:idx val="2"/>
          <c:order val="2"/>
          <c:tx>
            <c:strRef>
              <c:f>SGBR!$W$33</c:f>
              <c:strCache>
                <c:ptCount val="1"/>
                <c:pt idx="0">
                  <c:v>HRT (hr)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SGBR!$T$34:$T$68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SGBR!$W$34:$W$68</c:f>
              <c:numCache>
                <c:formatCode>General</c:formatCode>
                <c:ptCount val="35"/>
                <c:pt idx="0">
                  <c:v>106</c:v>
                </c:pt>
                <c:pt idx="2">
                  <c:v>106</c:v>
                </c:pt>
                <c:pt idx="4">
                  <c:v>106</c:v>
                </c:pt>
                <c:pt idx="6">
                  <c:v>106</c:v>
                </c:pt>
                <c:pt idx="8">
                  <c:v>106</c:v>
                </c:pt>
                <c:pt idx="10">
                  <c:v>106</c:v>
                </c:pt>
                <c:pt idx="12">
                  <c:v>106</c:v>
                </c:pt>
                <c:pt idx="14">
                  <c:v>106</c:v>
                </c:pt>
                <c:pt idx="16">
                  <c:v>106</c:v>
                </c:pt>
                <c:pt idx="18">
                  <c:v>106</c:v>
                </c:pt>
                <c:pt idx="20">
                  <c:v>106</c:v>
                </c:pt>
                <c:pt idx="22">
                  <c:v>106</c:v>
                </c:pt>
                <c:pt idx="24">
                  <c:v>106</c:v>
                </c:pt>
                <c:pt idx="26">
                  <c:v>106</c:v>
                </c:pt>
                <c:pt idx="28">
                  <c:v>106</c:v>
                </c:pt>
                <c:pt idx="30">
                  <c:v>106</c:v>
                </c:pt>
                <c:pt idx="32">
                  <c:v>106</c:v>
                </c:pt>
                <c:pt idx="34">
                  <c:v>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41-4B3C-B427-310E96402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61776"/>
        <c:axId val="349263744"/>
      </c:scatterChart>
      <c:scatterChart>
        <c:scatterStyle val="lineMarker"/>
        <c:varyColors val="0"/>
        <c:ser>
          <c:idx val="0"/>
          <c:order val="0"/>
          <c:tx>
            <c:strRef>
              <c:f>SGBR!$U$33</c:f>
              <c:strCache>
                <c:ptCount val="1"/>
                <c:pt idx="0">
                  <c:v>COD% Removal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SGBR!$T$34:$T$68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SGBR!$U$34:$U$68</c:f>
              <c:numCache>
                <c:formatCode>General</c:formatCode>
                <c:ptCount val="35"/>
                <c:pt idx="0">
                  <c:v>79.24822623660242</c:v>
                </c:pt>
                <c:pt idx="2">
                  <c:v>90.942484778342475</c:v>
                </c:pt>
                <c:pt idx="4">
                  <c:v>92.794243445881335</c:v>
                </c:pt>
                <c:pt idx="6">
                  <c:v>72.344386856539018</c:v>
                </c:pt>
                <c:pt idx="8">
                  <c:v>82.345177664974628</c:v>
                </c:pt>
                <c:pt idx="10">
                  <c:v>68.73096446700508</c:v>
                </c:pt>
                <c:pt idx="12">
                  <c:v>74.994923857868017</c:v>
                </c:pt>
                <c:pt idx="14">
                  <c:v>84.670050761421322</c:v>
                </c:pt>
                <c:pt idx="16">
                  <c:v>78.304568527918789</c:v>
                </c:pt>
                <c:pt idx="18">
                  <c:v>84.294416243654823</c:v>
                </c:pt>
                <c:pt idx="20">
                  <c:v>83.370558375634516</c:v>
                </c:pt>
                <c:pt idx="22">
                  <c:v>88.081218274111677</c:v>
                </c:pt>
                <c:pt idx="24">
                  <c:v>92.862944162436548</c:v>
                </c:pt>
                <c:pt idx="28">
                  <c:v>88.060913705583758</c:v>
                </c:pt>
                <c:pt idx="30">
                  <c:v>89.898477157360404</c:v>
                </c:pt>
                <c:pt idx="32">
                  <c:v>91.6243654822335</c:v>
                </c:pt>
                <c:pt idx="34">
                  <c:v>92.802030456852791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41-4B3C-B427-310E96402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162240"/>
        <c:axId val="343164864"/>
      </c:scatterChart>
      <c:valAx>
        <c:axId val="34926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TIME, 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263744"/>
        <c:crosses val="autoZero"/>
        <c:crossBetween val="midCat"/>
      </c:valAx>
      <c:valAx>
        <c:axId val="3492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HRT (hr)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261776"/>
        <c:crosses val="autoZero"/>
        <c:crossBetween val="midCat"/>
      </c:valAx>
      <c:valAx>
        <c:axId val="3431648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OLR (g COD/L.day)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162240"/>
        <c:crosses val="max"/>
        <c:crossBetween val="midCat"/>
      </c:valAx>
      <c:valAx>
        <c:axId val="34316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164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6879220437709941E-2"/>
          <c:y val="0.89688521833247425"/>
          <c:w val="0.85363896620672886"/>
          <c:h val="9.0863635092042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TDS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SGBR!$AG$33</c:f>
              <c:strCache>
                <c:ptCount val="1"/>
                <c:pt idx="0">
                  <c:v>TDS In (mg/L)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SGBR!$AE$34:$AE$68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SGBR!$AG$34:$AG$68</c:f>
              <c:numCache>
                <c:formatCode>General</c:formatCode>
                <c:ptCount val="35"/>
                <c:pt idx="0">
                  <c:v>1006</c:v>
                </c:pt>
                <c:pt idx="2">
                  <c:v>1078</c:v>
                </c:pt>
                <c:pt idx="4">
                  <c:v>916</c:v>
                </c:pt>
                <c:pt idx="6">
                  <c:v>950</c:v>
                </c:pt>
                <c:pt idx="8">
                  <c:v>1268</c:v>
                </c:pt>
                <c:pt idx="10">
                  <c:v>1422</c:v>
                </c:pt>
                <c:pt idx="12">
                  <c:v>1340</c:v>
                </c:pt>
                <c:pt idx="14">
                  <c:v>1212</c:v>
                </c:pt>
                <c:pt idx="16">
                  <c:v>1156</c:v>
                </c:pt>
                <c:pt idx="18">
                  <c:v>1054</c:v>
                </c:pt>
                <c:pt idx="20">
                  <c:v>730</c:v>
                </c:pt>
                <c:pt idx="22">
                  <c:v>1226</c:v>
                </c:pt>
                <c:pt idx="24">
                  <c:v>982</c:v>
                </c:pt>
                <c:pt idx="28">
                  <c:v>956</c:v>
                </c:pt>
                <c:pt idx="30">
                  <c:v>1137</c:v>
                </c:pt>
                <c:pt idx="32">
                  <c:v>888</c:v>
                </c:pt>
                <c:pt idx="34">
                  <c:v>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9F-4E07-8CA7-F696EFDED899}"/>
            </c:ext>
          </c:extLst>
        </c:ser>
        <c:ser>
          <c:idx val="2"/>
          <c:order val="2"/>
          <c:tx>
            <c:strRef>
              <c:f>SGBR!$AH$33</c:f>
              <c:strCache>
                <c:ptCount val="1"/>
                <c:pt idx="0">
                  <c:v>TDS Out (mg/L)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SGBR!$AE$34:$AE$68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SGBR!$AH$34:$AH$68</c:f>
              <c:numCache>
                <c:formatCode>General</c:formatCode>
                <c:ptCount val="35"/>
                <c:pt idx="0">
                  <c:v>1106</c:v>
                </c:pt>
                <c:pt idx="2">
                  <c:v>884</c:v>
                </c:pt>
                <c:pt idx="4">
                  <c:v>834</c:v>
                </c:pt>
                <c:pt idx="6">
                  <c:v>870</c:v>
                </c:pt>
                <c:pt idx="8">
                  <c:v>1132</c:v>
                </c:pt>
                <c:pt idx="10">
                  <c:v>1098</c:v>
                </c:pt>
                <c:pt idx="12">
                  <c:v>1268</c:v>
                </c:pt>
                <c:pt idx="14">
                  <c:v>1096</c:v>
                </c:pt>
                <c:pt idx="16">
                  <c:v>1132</c:v>
                </c:pt>
                <c:pt idx="18">
                  <c:v>809</c:v>
                </c:pt>
                <c:pt idx="20">
                  <c:v>698</c:v>
                </c:pt>
                <c:pt idx="22">
                  <c:v>1140</c:v>
                </c:pt>
                <c:pt idx="24">
                  <c:v>511</c:v>
                </c:pt>
                <c:pt idx="28">
                  <c:v>858</c:v>
                </c:pt>
                <c:pt idx="30">
                  <c:v>956</c:v>
                </c:pt>
                <c:pt idx="32">
                  <c:v>633</c:v>
                </c:pt>
                <c:pt idx="34">
                  <c:v>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9F-4E07-8CA7-F696EFDED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889624"/>
        <c:axId val="560890608"/>
      </c:scatterChart>
      <c:scatterChart>
        <c:scatterStyle val="lineMarker"/>
        <c:varyColors val="0"/>
        <c:ser>
          <c:idx val="0"/>
          <c:order val="0"/>
          <c:tx>
            <c:strRef>
              <c:f>SGBR!$AF$33</c:f>
              <c:strCache>
                <c:ptCount val="1"/>
                <c:pt idx="0">
                  <c:v>COD% Removal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SGBR!$AE$34:$AE$68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SGBR!$AF$34:$AF$68</c:f>
              <c:numCache>
                <c:formatCode>General</c:formatCode>
                <c:ptCount val="35"/>
                <c:pt idx="0">
                  <c:v>79.24822623660242</c:v>
                </c:pt>
                <c:pt idx="2">
                  <c:v>90.942484778342475</c:v>
                </c:pt>
                <c:pt idx="4">
                  <c:v>92.794243445881335</c:v>
                </c:pt>
                <c:pt idx="6">
                  <c:v>72.344386856539018</c:v>
                </c:pt>
                <c:pt idx="8">
                  <c:v>82.345177664974628</c:v>
                </c:pt>
                <c:pt idx="10">
                  <c:v>68.73096446700508</c:v>
                </c:pt>
                <c:pt idx="12">
                  <c:v>74.994923857868017</c:v>
                </c:pt>
                <c:pt idx="14">
                  <c:v>84.670050761421322</c:v>
                </c:pt>
                <c:pt idx="16">
                  <c:v>78.304568527918789</c:v>
                </c:pt>
                <c:pt idx="18">
                  <c:v>84.294416243654823</c:v>
                </c:pt>
                <c:pt idx="20">
                  <c:v>83.370558375634516</c:v>
                </c:pt>
                <c:pt idx="22">
                  <c:v>88.081218274111677</c:v>
                </c:pt>
                <c:pt idx="24">
                  <c:v>92.862944162436548</c:v>
                </c:pt>
                <c:pt idx="28">
                  <c:v>88.060913705583758</c:v>
                </c:pt>
                <c:pt idx="30">
                  <c:v>89.898477157360404</c:v>
                </c:pt>
                <c:pt idx="32">
                  <c:v>91.6243654822335</c:v>
                </c:pt>
                <c:pt idx="34">
                  <c:v>92.802030456852791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9F-4E07-8CA7-F696EFDED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874864"/>
        <c:axId val="560883064"/>
      </c:scatterChart>
      <c:valAx>
        <c:axId val="560889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TIME, 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890608"/>
        <c:crosses val="autoZero"/>
        <c:crossBetween val="midCat"/>
      </c:valAx>
      <c:valAx>
        <c:axId val="56089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TDS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889624"/>
        <c:crosses val="autoZero"/>
        <c:crossBetween val="midCat"/>
      </c:valAx>
      <c:valAx>
        <c:axId val="5608830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COD % Removal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874864"/>
        <c:crosses val="max"/>
        <c:crossBetween val="midCat"/>
      </c:valAx>
      <c:valAx>
        <c:axId val="56087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8830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DEGBR pH and TEMPERATURE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SGBR!$AV$33</c:f>
              <c:strCache>
                <c:ptCount val="1"/>
                <c:pt idx="0">
                  <c:v>pH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SGBR!$AU$34:$AU$68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SGBR!$AV$34:$AV$68</c:f>
              <c:numCache>
                <c:formatCode>General</c:formatCode>
                <c:ptCount val="35"/>
                <c:pt idx="0">
                  <c:v>7.03</c:v>
                </c:pt>
                <c:pt idx="2">
                  <c:v>6.9</c:v>
                </c:pt>
                <c:pt idx="4">
                  <c:v>6.6</c:v>
                </c:pt>
                <c:pt idx="6">
                  <c:v>6.73</c:v>
                </c:pt>
                <c:pt idx="8">
                  <c:v>6.59</c:v>
                </c:pt>
                <c:pt idx="10">
                  <c:v>6.6</c:v>
                </c:pt>
                <c:pt idx="12">
                  <c:v>6.87</c:v>
                </c:pt>
                <c:pt idx="14">
                  <c:v>6.64</c:v>
                </c:pt>
                <c:pt idx="16">
                  <c:v>6.81</c:v>
                </c:pt>
                <c:pt idx="18">
                  <c:v>6.78</c:v>
                </c:pt>
                <c:pt idx="20">
                  <c:v>7.01</c:v>
                </c:pt>
                <c:pt idx="22">
                  <c:v>6.98</c:v>
                </c:pt>
                <c:pt idx="24">
                  <c:v>6.98</c:v>
                </c:pt>
                <c:pt idx="28">
                  <c:v>6.67</c:v>
                </c:pt>
                <c:pt idx="30">
                  <c:v>6.84</c:v>
                </c:pt>
                <c:pt idx="32">
                  <c:v>7.02</c:v>
                </c:pt>
                <c:pt idx="34">
                  <c:v>7.04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64-4CDD-8061-B954D2D3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036824"/>
        <c:axId val="557039120"/>
      </c:scatterChart>
      <c:scatterChart>
        <c:scatterStyle val="lineMarker"/>
        <c:varyColors val="0"/>
        <c:ser>
          <c:idx val="1"/>
          <c:order val="1"/>
          <c:tx>
            <c:strRef>
              <c:f>SGBR!$AW$33</c:f>
              <c:strCache>
                <c:ptCount val="1"/>
                <c:pt idx="0">
                  <c:v>Temp 0C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SGBR!$AU$34:$AU$68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SGBR!$AW$34:$AW$68</c:f>
              <c:numCache>
                <c:formatCode>General</c:formatCode>
                <c:ptCount val="35"/>
                <c:pt idx="0">
                  <c:v>37.299999999999997</c:v>
                </c:pt>
                <c:pt idx="2">
                  <c:v>37.6</c:v>
                </c:pt>
                <c:pt idx="4">
                  <c:v>37.299999999999997</c:v>
                </c:pt>
                <c:pt idx="6">
                  <c:v>37.4</c:v>
                </c:pt>
                <c:pt idx="8">
                  <c:v>37.6</c:v>
                </c:pt>
                <c:pt idx="10">
                  <c:v>37.6</c:v>
                </c:pt>
                <c:pt idx="12">
                  <c:v>37.9</c:v>
                </c:pt>
                <c:pt idx="14">
                  <c:v>37.6</c:v>
                </c:pt>
                <c:pt idx="16">
                  <c:v>37.4</c:v>
                </c:pt>
                <c:pt idx="18">
                  <c:v>37.799999999999997</c:v>
                </c:pt>
                <c:pt idx="20">
                  <c:v>37.700000000000003</c:v>
                </c:pt>
                <c:pt idx="22">
                  <c:v>37.4</c:v>
                </c:pt>
                <c:pt idx="24">
                  <c:v>37.4</c:v>
                </c:pt>
                <c:pt idx="28">
                  <c:v>37.9</c:v>
                </c:pt>
                <c:pt idx="30">
                  <c:v>37.700000000000003</c:v>
                </c:pt>
                <c:pt idx="32">
                  <c:v>37.799999999999997</c:v>
                </c:pt>
                <c:pt idx="34">
                  <c:v>37.799999999999997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64-4CDD-8061-B954D2D3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078928"/>
        <c:axId val="403103200"/>
      </c:scatterChart>
      <c:valAx>
        <c:axId val="557036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TIME, 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039120"/>
        <c:crosses val="autoZero"/>
        <c:crossBetween val="midCat"/>
      </c:valAx>
      <c:valAx>
        <c:axId val="55703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036824"/>
        <c:crosses val="autoZero"/>
        <c:crossBetween val="midCat"/>
      </c:valAx>
      <c:valAx>
        <c:axId val="4031032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TEMPERATURE 0C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078928"/>
        <c:crosses val="max"/>
        <c:crossBetween val="midCat"/>
      </c:valAx>
      <c:valAx>
        <c:axId val="40307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03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VFA/Alkalinity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SGBR!$BD$33</c:f>
              <c:strCache>
                <c:ptCount val="1"/>
                <c:pt idx="0">
                  <c:v>Alkalinity (mg/L)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SGBR!$BB$34:$BB$68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SGBR!$BD$34:$BD$68</c:f>
              <c:numCache>
                <c:formatCode>General</c:formatCode>
                <c:ptCount val="35"/>
                <c:pt idx="0">
                  <c:v>971</c:v>
                </c:pt>
                <c:pt idx="2">
                  <c:v>940</c:v>
                </c:pt>
                <c:pt idx="4">
                  <c:v>940</c:v>
                </c:pt>
                <c:pt idx="6">
                  <c:v>812</c:v>
                </c:pt>
                <c:pt idx="8">
                  <c:v>702</c:v>
                </c:pt>
                <c:pt idx="10">
                  <c:v>789</c:v>
                </c:pt>
                <c:pt idx="12">
                  <c:v>773</c:v>
                </c:pt>
                <c:pt idx="14">
                  <c:v>801</c:v>
                </c:pt>
                <c:pt idx="16">
                  <c:v>993</c:v>
                </c:pt>
                <c:pt idx="18">
                  <c:v>824</c:v>
                </c:pt>
                <c:pt idx="20">
                  <c:v>944</c:v>
                </c:pt>
                <c:pt idx="22">
                  <c:v>911</c:v>
                </c:pt>
                <c:pt idx="24">
                  <c:v>857</c:v>
                </c:pt>
                <c:pt idx="28">
                  <c:v>965</c:v>
                </c:pt>
                <c:pt idx="30">
                  <c:v>974</c:v>
                </c:pt>
                <c:pt idx="32">
                  <c:v>1048</c:v>
                </c:pt>
                <c:pt idx="34">
                  <c:v>854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92-482A-81E5-0A319C391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811584"/>
        <c:axId val="543812240"/>
      </c:scatterChart>
      <c:scatterChart>
        <c:scatterStyle val="lineMarker"/>
        <c:varyColors val="0"/>
        <c:ser>
          <c:idx val="0"/>
          <c:order val="0"/>
          <c:tx>
            <c:strRef>
              <c:f>SGBR!$BC$33</c:f>
              <c:strCache>
                <c:ptCount val="1"/>
                <c:pt idx="0">
                  <c:v>VFA/Alkalinity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SGBR!$BB$34:$BB$68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SGBR!$BC$34:$BC$68</c:f>
              <c:numCache>
                <c:formatCode>General</c:formatCode>
                <c:ptCount val="35"/>
                <c:pt idx="0">
                  <c:v>0.18022657054582905</c:v>
                </c:pt>
                <c:pt idx="2">
                  <c:v>0.18</c:v>
                </c:pt>
                <c:pt idx="4">
                  <c:v>0.1</c:v>
                </c:pt>
                <c:pt idx="6">
                  <c:v>0.15024630541871922</c:v>
                </c:pt>
                <c:pt idx="8">
                  <c:v>0.25</c:v>
                </c:pt>
                <c:pt idx="10">
                  <c:v>0.23</c:v>
                </c:pt>
                <c:pt idx="12">
                  <c:v>0.12000000000000001</c:v>
                </c:pt>
                <c:pt idx="14">
                  <c:v>0.19999999999999998</c:v>
                </c:pt>
                <c:pt idx="16">
                  <c:v>0.18999999999999997</c:v>
                </c:pt>
                <c:pt idx="18">
                  <c:v>0.19</c:v>
                </c:pt>
                <c:pt idx="20">
                  <c:v>0.22</c:v>
                </c:pt>
                <c:pt idx="22">
                  <c:v>0.17</c:v>
                </c:pt>
                <c:pt idx="24">
                  <c:v>0.24000000000000002</c:v>
                </c:pt>
                <c:pt idx="28">
                  <c:v>0.17</c:v>
                </c:pt>
                <c:pt idx="30">
                  <c:v>0.15</c:v>
                </c:pt>
                <c:pt idx="32">
                  <c:v>0.13999999999999999</c:v>
                </c:pt>
                <c:pt idx="34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92-482A-81E5-0A319C391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838808"/>
        <c:axId val="543836184"/>
      </c:scatterChart>
      <c:valAx>
        <c:axId val="54381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TIME, 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12240"/>
        <c:crosses val="autoZero"/>
        <c:crossBetween val="midCat"/>
      </c:valAx>
      <c:valAx>
        <c:axId val="54381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Alkalinity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11584"/>
        <c:crosses val="autoZero"/>
        <c:crossBetween val="midCat"/>
      </c:valAx>
      <c:valAx>
        <c:axId val="5438361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VFA/Alkalinity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38808"/>
        <c:crosses val="max"/>
        <c:crossBetween val="midCat"/>
      </c:valAx>
      <c:valAx>
        <c:axId val="543838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3836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'CPUT Poultry Project 2020 (2)'!$F$90</c:f>
              <c:strCache>
                <c:ptCount val="1"/>
                <c:pt idx="0">
                  <c:v>Methane gas production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'CPUT Poultry Project 2020 (2)'!$D$91:$D$96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</c:numCache>
            </c:numRef>
          </c:cat>
          <c:val>
            <c:numRef>
              <c:f>'CPUT Poultry Project 2020 (2)'!$F$91:$F$96</c:f>
              <c:numCache>
                <c:formatCode>General</c:formatCode>
                <c:ptCount val="6"/>
                <c:pt idx="0">
                  <c:v>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8-4DB5-8984-2B5AA0DC5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45326784"/>
        <c:axId val="2453273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'CPUT Poultry Project 2020 (2)'!$E$90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 cmpd="sng" algn="ctr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'CPUT Poultry Project 2020 (2)'!$D$91:$D$96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30</c:v>
                      </c:pt>
                      <c:pt idx="2">
                        <c:v>60</c:v>
                      </c:pt>
                      <c:pt idx="3">
                        <c:v>90</c:v>
                      </c:pt>
                      <c:pt idx="4">
                        <c:v>120</c:v>
                      </c:pt>
                      <c:pt idx="5">
                        <c:v>150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'CPUT Poultry Project 2020 (2)'!$E$91:$E$96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0F8-4DB5-8984-2B5AA0DC595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'CPUT Poultry Project 2020 (2)'!$G$90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'CPUT Poultry Project 2020 (2)'!$D$91:$D$96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30</c:v>
                      </c:pt>
                      <c:pt idx="2">
                        <c:v>60</c:v>
                      </c:pt>
                      <c:pt idx="3">
                        <c:v>90</c:v>
                      </c:pt>
                      <c:pt idx="4">
                        <c:v>120</c:v>
                      </c:pt>
                      <c:pt idx="5">
                        <c:v>150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'CPUT Poultry Project 2020 (2)'!$G$91:$G$96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0F8-4DB5-8984-2B5AA0DC595B}"/>
                  </c:ext>
                </c:extLst>
              </c15:ser>
            </c15:filteredLineSeries>
          </c:ext>
        </c:extLst>
      </c:lineChart>
      <c:catAx>
        <c:axId val="24532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327344"/>
        <c:crosses val="autoZero"/>
        <c:auto val="1"/>
        <c:lblAlgn val="ctr"/>
        <c:lblOffset val="100"/>
        <c:noMultiLvlLbl val="0"/>
      </c:catAx>
      <c:valAx>
        <c:axId val="24532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32678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VFA/Alkalinity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SGBR!$BD$33</c:f>
              <c:strCache>
                <c:ptCount val="1"/>
                <c:pt idx="0">
                  <c:v>Alkalinity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SGBR!$BB$34:$BB$68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SGBR!$BD$34:$BD$68</c:f>
              <c:numCache>
                <c:formatCode>General</c:formatCode>
                <c:ptCount val="35"/>
                <c:pt idx="0">
                  <c:v>971</c:v>
                </c:pt>
                <c:pt idx="2">
                  <c:v>940</c:v>
                </c:pt>
                <c:pt idx="4">
                  <c:v>940</c:v>
                </c:pt>
                <c:pt idx="6">
                  <c:v>812</c:v>
                </c:pt>
                <c:pt idx="8">
                  <c:v>702</c:v>
                </c:pt>
                <c:pt idx="10">
                  <c:v>789</c:v>
                </c:pt>
                <c:pt idx="12">
                  <c:v>773</c:v>
                </c:pt>
                <c:pt idx="14">
                  <c:v>801</c:v>
                </c:pt>
                <c:pt idx="16">
                  <c:v>993</c:v>
                </c:pt>
                <c:pt idx="18">
                  <c:v>824</c:v>
                </c:pt>
                <c:pt idx="20">
                  <c:v>944</c:v>
                </c:pt>
                <c:pt idx="22">
                  <c:v>911</c:v>
                </c:pt>
                <c:pt idx="24">
                  <c:v>857</c:v>
                </c:pt>
                <c:pt idx="28">
                  <c:v>965</c:v>
                </c:pt>
                <c:pt idx="30">
                  <c:v>974</c:v>
                </c:pt>
                <c:pt idx="32">
                  <c:v>1048</c:v>
                </c:pt>
                <c:pt idx="34">
                  <c:v>854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63-4531-94DD-71790AE956E8}"/>
            </c:ext>
          </c:extLst>
        </c:ser>
        <c:ser>
          <c:idx val="2"/>
          <c:order val="2"/>
          <c:tx>
            <c:strRef>
              <c:f>SGBR!$BE$33</c:f>
              <c:strCache>
                <c:ptCount val="1"/>
                <c:pt idx="0">
                  <c:v>VFA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SGBR!$BB$34:$BB$68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SGBR!$BE$34:$BE$68</c:f>
              <c:numCache>
                <c:formatCode>General</c:formatCode>
                <c:ptCount val="35"/>
                <c:pt idx="0">
                  <c:v>175</c:v>
                </c:pt>
                <c:pt idx="2">
                  <c:v>169.2</c:v>
                </c:pt>
                <c:pt idx="4">
                  <c:v>94</c:v>
                </c:pt>
                <c:pt idx="6">
                  <c:v>122</c:v>
                </c:pt>
                <c:pt idx="8">
                  <c:v>175.5</c:v>
                </c:pt>
                <c:pt idx="10">
                  <c:v>181.47</c:v>
                </c:pt>
                <c:pt idx="12">
                  <c:v>92.76</c:v>
                </c:pt>
                <c:pt idx="14">
                  <c:v>160.19999999999999</c:v>
                </c:pt>
                <c:pt idx="16">
                  <c:v>188.67</c:v>
                </c:pt>
                <c:pt idx="18">
                  <c:v>156.56</c:v>
                </c:pt>
                <c:pt idx="20">
                  <c:v>207.68</c:v>
                </c:pt>
                <c:pt idx="22">
                  <c:v>154.87</c:v>
                </c:pt>
                <c:pt idx="24">
                  <c:v>205.68</c:v>
                </c:pt>
                <c:pt idx="28">
                  <c:v>164.05</c:v>
                </c:pt>
                <c:pt idx="30">
                  <c:v>146.1</c:v>
                </c:pt>
                <c:pt idx="32">
                  <c:v>146.72</c:v>
                </c:pt>
                <c:pt idx="34">
                  <c:v>128.1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63-4531-94DD-71790AE95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322576"/>
        <c:axId val="550323560"/>
      </c:scatterChart>
      <c:scatterChart>
        <c:scatterStyle val="lineMarker"/>
        <c:varyColors val="0"/>
        <c:ser>
          <c:idx val="0"/>
          <c:order val="0"/>
          <c:tx>
            <c:strRef>
              <c:f>SGBR!$BC$33</c:f>
              <c:strCache>
                <c:ptCount val="1"/>
                <c:pt idx="0">
                  <c:v>VFA/Alkalinity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SGBR!$BB$34:$BB$68</c:f>
              <c:numCache>
                <c:formatCode>General</c:formatCode>
                <c:ptCount val="35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SGBR!$BC$34:$BC$68</c:f>
              <c:numCache>
                <c:formatCode>General</c:formatCode>
                <c:ptCount val="35"/>
                <c:pt idx="0">
                  <c:v>0.18022657054582905</c:v>
                </c:pt>
                <c:pt idx="2">
                  <c:v>0.18</c:v>
                </c:pt>
                <c:pt idx="4">
                  <c:v>0.1</c:v>
                </c:pt>
                <c:pt idx="6">
                  <c:v>0.15024630541871922</c:v>
                </c:pt>
                <c:pt idx="8">
                  <c:v>0.25</c:v>
                </c:pt>
                <c:pt idx="10">
                  <c:v>0.23</c:v>
                </c:pt>
                <c:pt idx="12">
                  <c:v>0.12000000000000001</c:v>
                </c:pt>
                <c:pt idx="14">
                  <c:v>0.19999999999999998</c:v>
                </c:pt>
                <c:pt idx="16">
                  <c:v>0.18999999999999997</c:v>
                </c:pt>
                <c:pt idx="18">
                  <c:v>0.19</c:v>
                </c:pt>
                <c:pt idx="20">
                  <c:v>0.22</c:v>
                </c:pt>
                <c:pt idx="22">
                  <c:v>0.17</c:v>
                </c:pt>
                <c:pt idx="24">
                  <c:v>0.24000000000000002</c:v>
                </c:pt>
                <c:pt idx="28">
                  <c:v>0.17</c:v>
                </c:pt>
                <c:pt idx="30">
                  <c:v>0.15</c:v>
                </c:pt>
                <c:pt idx="32">
                  <c:v>0.13999999999999999</c:v>
                </c:pt>
                <c:pt idx="34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63-4531-94DD-71790AE95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074992"/>
        <c:axId val="403071384"/>
      </c:scatterChart>
      <c:valAx>
        <c:axId val="55032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323560"/>
        <c:crosses val="autoZero"/>
        <c:crossBetween val="midCat"/>
      </c:valAx>
      <c:valAx>
        <c:axId val="55032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322576"/>
        <c:crosses val="autoZero"/>
        <c:crossBetween val="midCat"/>
      </c:valAx>
      <c:valAx>
        <c:axId val="4030713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074992"/>
        <c:crosses val="max"/>
        <c:crossBetween val="midCat"/>
      </c:valAx>
      <c:valAx>
        <c:axId val="403074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071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41738894621536"/>
          <c:y val="0.16679030211783105"/>
          <c:w val="0.85155669041979731"/>
          <c:h val="0.63353212969647998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'CPUT Poultry Project 2020'!$D$47:$D$52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</c:numCache>
            </c:numRef>
          </c:xVal>
          <c:yVal>
            <c:numRef>
              <c:f>'CPUT Poultry Project 2020'!$E$47:$E$52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D8-487C-B39E-A84689046F89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'CPUT Poultry Project 2020'!$D$47:$D$52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</c:numCache>
            </c:numRef>
          </c:xVal>
          <c:yVal>
            <c:numRef>
              <c:f>'CPUT Poultry Project 2020'!$F$47:$F$52</c:f>
              <c:numCache>
                <c:formatCode>General</c:formatCode>
                <c:ptCount val="6"/>
                <c:pt idx="0">
                  <c:v>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D8-487C-B39E-A8468904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000144"/>
        <c:axId val="241000704"/>
      </c:scatterChart>
      <c:valAx>
        <c:axId val="24100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Operational Time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000704"/>
        <c:crosses val="autoZero"/>
        <c:crossBetween val="midCat"/>
      </c:valAx>
      <c:valAx>
        <c:axId val="24100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Methane gas production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000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'CPUT Poultry Project 2020'!$F$46</c:f>
              <c:strCache>
                <c:ptCount val="1"/>
                <c:pt idx="0">
                  <c:v>Methane gas production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'CPUT Poultry Project 2020'!$D$47:$D$52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</c:numCache>
            </c:numRef>
          </c:cat>
          <c:val>
            <c:numRef>
              <c:f>'CPUT Poultry Project 2020'!$F$47:$F$52</c:f>
              <c:numCache>
                <c:formatCode>General</c:formatCode>
                <c:ptCount val="6"/>
                <c:pt idx="0">
                  <c:v>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2-4663-B1CE-9250F71A3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41004624"/>
        <c:axId val="2410051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'CPUT Poultry Project 2020'!$E$46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 cmpd="sng" algn="ctr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'CPUT Poultry Project 2020'!$D$47:$D$52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30</c:v>
                      </c:pt>
                      <c:pt idx="2">
                        <c:v>60</c:v>
                      </c:pt>
                      <c:pt idx="3">
                        <c:v>90</c:v>
                      </c:pt>
                      <c:pt idx="4">
                        <c:v>120</c:v>
                      </c:pt>
                      <c:pt idx="5">
                        <c:v>150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'CPUT Poultry Project 2020'!$E$47:$E$52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452-4663-B1CE-9250F71A3DD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'CPUT Poultry Project 2020'!$G$46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'CPUT Poultry Project 2020'!$D$47:$D$52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30</c:v>
                      </c:pt>
                      <c:pt idx="2">
                        <c:v>60</c:v>
                      </c:pt>
                      <c:pt idx="3">
                        <c:v>90</c:v>
                      </c:pt>
                      <c:pt idx="4">
                        <c:v>120</c:v>
                      </c:pt>
                      <c:pt idx="5">
                        <c:v>150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'CPUT Poultry Project 2020'!$G$47:$G$52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452-4663-B1CE-9250F71A3DD5}"/>
                  </c:ext>
                </c:extLst>
              </c15:ser>
            </c15:filteredLineSeries>
          </c:ext>
        </c:extLst>
      </c:lineChart>
      <c:catAx>
        <c:axId val="24100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005184"/>
        <c:crosses val="autoZero"/>
        <c:auto val="1"/>
        <c:lblAlgn val="ctr"/>
        <c:lblOffset val="100"/>
        <c:noMultiLvlLbl val="0"/>
      </c:catAx>
      <c:valAx>
        <c:axId val="24100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0046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PRE-TREATMENT</a:t>
            </a:r>
            <a:r>
              <a:rPr lang="en-US" baseline="0"/>
              <a:t> </a:t>
            </a:r>
            <a:r>
              <a:rPr lang="en-US"/>
              <a:t>COD% REMOVAL</a:t>
            </a:r>
          </a:p>
        </c:rich>
      </c:tx>
      <c:layout>
        <c:manualLayout>
          <c:xMode val="edge"/>
          <c:yMode val="edge"/>
          <c:x val="0.19436121807434717"/>
          <c:y val="2.2160658375129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'PRE-TREATMENT'!$F$30</c:f>
              <c:strCache>
                <c:ptCount val="1"/>
                <c:pt idx="0">
                  <c:v>COD%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'PRE-TREATMENT'!$E$31:$E$66</c:f>
              <c:numCache>
                <c:formatCode>General</c:formatCode>
                <c:ptCount val="36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  <c:pt idx="15">
                  <c:v>8</c:v>
                </c:pt>
                <c:pt idx="17">
                  <c:v>9</c:v>
                </c:pt>
                <c:pt idx="19">
                  <c:v>10</c:v>
                </c:pt>
                <c:pt idx="21">
                  <c:v>11</c:v>
                </c:pt>
                <c:pt idx="23">
                  <c:v>12</c:v>
                </c:pt>
                <c:pt idx="25">
                  <c:v>13</c:v>
                </c:pt>
                <c:pt idx="27">
                  <c:v>14</c:v>
                </c:pt>
                <c:pt idx="29">
                  <c:v>15</c:v>
                </c:pt>
                <c:pt idx="31">
                  <c:v>16</c:v>
                </c:pt>
                <c:pt idx="33">
                  <c:v>17</c:v>
                </c:pt>
                <c:pt idx="35">
                  <c:v>18</c:v>
                </c:pt>
              </c:numCache>
            </c:numRef>
          </c:xVal>
          <c:yVal>
            <c:numRef>
              <c:f>'PRE-TREATMENT'!$F$31:$F$66</c:f>
              <c:numCache>
                <c:formatCode>General</c:formatCode>
                <c:ptCount val="36"/>
                <c:pt idx="1">
                  <c:v>66.446938056659789</c:v>
                </c:pt>
                <c:pt idx="3">
                  <c:v>70.814673174659077</c:v>
                </c:pt>
                <c:pt idx="5">
                  <c:v>82.267397977154928</c:v>
                </c:pt>
                <c:pt idx="7">
                  <c:v>64.695818447139331</c:v>
                </c:pt>
                <c:pt idx="9">
                  <c:v>64.213197969543145</c:v>
                </c:pt>
                <c:pt idx="11">
                  <c:v>49.786802030456847</c:v>
                </c:pt>
                <c:pt idx="13">
                  <c:v>68.568527918781726</c:v>
                </c:pt>
                <c:pt idx="15">
                  <c:v>75.786802030456855</c:v>
                </c:pt>
                <c:pt idx="17">
                  <c:v>76.406091370558372</c:v>
                </c:pt>
                <c:pt idx="19">
                  <c:v>79.543147208121823</c:v>
                </c:pt>
                <c:pt idx="21">
                  <c:v>68.73096446700508</c:v>
                </c:pt>
                <c:pt idx="23">
                  <c:v>63.319796954314725</c:v>
                </c:pt>
                <c:pt idx="25">
                  <c:v>81.289340101522839</c:v>
                </c:pt>
                <c:pt idx="29">
                  <c:v>87.532994923857871</c:v>
                </c:pt>
                <c:pt idx="31">
                  <c:v>81.035532994923855</c:v>
                </c:pt>
                <c:pt idx="33">
                  <c:v>81.878172588832484</c:v>
                </c:pt>
                <c:pt idx="35">
                  <c:v>85.065989847715741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6-4382-A516-E6542845C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849760"/>
        <c:axId val="470850416"/>
      </c:scatterChart>
      <c:valAx>
        <c:axId val="47084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1"/>
                  <a:t>TIME, 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850416"/>
        <c:crosses val="autoZero"/>
        <c:crossBetween val="midCat"/>
      </c:valAx>
      <c:valAx>
        <c:axId val="47085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1"/>
                  <a:t>COD%</a:t>
                </a:r>
                <a:r>
                  <a:rPr lang="en-ZA" sz="1000" b="1" baseline="0"/>
                  <a:t> REMOVAL</a:t>
                </a:r>
                <a:endParaRPr lang="en-ZA" sz="10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84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PRE-TREATMENT COD%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'PRE-TREATMENT'!$E$69</c:f>
              <c:strCache>
                <c:ptCount val="1"/>
                <c:pt idx="0">
                  <c:v>COD%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'PRE-TREATMENT'!$D$70:$D$105</c:f>
              <c:numCache>
                <c:formatCode>General</c:formatCode>
                <c:ptCount val="36"/>
                <c:pt idx="1">
                  <c:v>7</c:v>
                </c:pt>
                <c:pt idx="3">
                  <c:v>14</c:v>
                </c:pt>
                <c:pt idx="5">
                  <c:v>21</c:v>
                </c:pt>
                <c:pt idx="7">
                  <c:v>28</c:v>
                </c:pt>
                <c:pt idx="9">
                  <c:v>35</c:v>
                </c:pt>
                <c:pt idx="11">
                  <c:v>42</c:v>
                </c:pt>
                <c:pt idx="13">
                  <c:v>49</c:v>
                </c:pt>
                <c:pt idx="15">
                  <c:v>56</c:v>
                </c:pt>
                <c:pt idx="17">
                  <c:v>63</c:v>
                </c:pt>
                <c:pt idx="19">
                  <c:v>70</c:v>
                </c:pt>
                <c:pt idx="21">
                  <c:v>77</c:v>
                </c:pt>
                <c:pt idx="23">
                  <c:v>84</c:v>
                </c:pt>
                <c:pt idx="25">
                  <c:v>91</c:v>
                </c:pt>
                <c:pt idx="27">
                  <c:v>98</c:v>
                </c:pt>
                <c:pt idx="29">
                  <c:v>105</c:v>
                </c:pt>
                <c:pt idx="31">
                  <c:v>112</c:v>
                </c:pt>
                <c:pt idx="33">
                  <c:v>119</c:v>
                </c:pt>
                <c:pt idx="35">
                  <c:v>126</c:v>
                </c:pt>
              </c:numCache>
            </c:numRef>
          </c:xVal>
          <c:yVal>
            <c:numRef>
              <c:f>'PRE-TREATMENT'!$E$70:$E$105</c:f>
              <c:numCache>
                <c:formatCode>General</c:formatCode>
                <c:ptCount val="36"/>
                <c:pt idx="1">
                  <c:v>66.446938056659789</c:v>
                </c:pt>
                <c:pt idx="3">
                  <c:v>70.814673174659077</c:v>
                </c:pt>
                <c:pt idx="5">
                  <c:v>82.267397977154928</c:v>
                </c:pt>
                <c:pt idx="7">
                  <c:v>64.695818447139331</c:v>
                </c:pt>
                <c:pt idx="9">
                  <c:v>64.213197969543145</c:v>
                </c:pt>
                <c:pt idx="11">
                  <c:v>49.786802030456847</c:v>
                </c:pt>
                <c:pt idx="13">
                  <c:v>68.568527918781726</c:v>
                </c:pt>
                <c:pt idx="15">
                  <c:v>75.786802030456855</c:v>
                </c:pt>
                <c:pt idx="17">
                  <c:v>76.406091370558372</c:v>
                </c:pt>
                <c:pt idx="19">
                  <c:v>79.543147208121823</c:v>
                </c:pt>
                <c:pt idx="21">
                  <c:v>68.73096446700508</c:v>
                </c:pt>
                <c:pt idx="23">
                  <c:v>63.319796954314725</c:v>
                </c:pt>
                <c:pt idx="25">
                  <c:v>81.289340101522839</c:v>
                </c:pt>
                <c:pt idx="29">
                  <c:v>87.532994923857871</c:v>
                </c:pt>
                <c:pt idx="31">
                  <c:v>81.035532994923855</c:v>
                </c:pt>
                <c:pt idx="33">
                  <c:v>81.878172588832484</c:v>
                </c:pt>
                <c:pt idx="35">
                  <c:v>85.065989847715741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B6-4A47-90A2-5B235B0E6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410392"/>
        <c:axId val="280407440"/>
      </c:scatterChart>
      <c:valAx>
        <c:axId val="280410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407440"/>
        <c:crosses val="autoZero"/>
        <c:crossBetween val="midCat"/>
      </c:valAx>
      <c:valAx>
        <c:axId val="28040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COD % REMOVAL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410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FOG% REMOVAL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'PRE-TREATMENT'!$L$30</c:f>
              <c:strCache>
                <c:ptCount val="1"/>
                <c:pt idx="0">
                  <c:v>FOG Out-put (mg/L)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'PRE-TREATMENT'!$J$31:$J$66</c:f>
              <c:numCache>
                <c:formatCode>General</c:formatCode>
                <c:ptCount val="36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'PRE-TREATMENT'!$L$31:$L$66</c:f>
              <c:numCache>
                <c:formatCode>General</c:formatCode>
                <c:ptCount val="36"/>
                <c:pt idx="0">
                  <c:v>16</c:v>
                </c:pt>
                <c:pt idx="2">
                  <c:v>27</c:v>
                </c:pt>
                <c:pt idx="4">
                  <c:v>27</c:v>
                </c:pt>
                <c:pt idx="6">
                  <c:v>11</c:v>
                </c:pt>
                <c:pt idx="8">
                  <c:v>135</c:v>
                </c:pt>
                <c:pt idx="10">
                  <c:v>370</c:v>
                </c:pt>
                <c:pt idx="12">
                  <c:v>102</c:v>
                </c:pt>
                <c:pt idx="14">
                  <c:v>55</c:v>
                </c:pt>
                <c:pt idx="16">
                  <c:v>79</c:v>
                </c:pt>
                <c:pt idx="18">
                  <c:v>210</c:v>
                </c:pt>
                <c:pt idx="20">
                  <c:v>196</c:v>
                </c:pt>
                <c:pt idx="22">
                  <c:v>33</c:v>
                </c:pt>
                <c:pt idx="24">
                  <c:v>79</c:v>
                </c:pt>
                <c:pt idx="28">
                  <c:v>90</c:v>
                </c:pt>
                <c:pt idx="30">
                  <c:v>196</c:v>
                </c:pt>
                <c:pt idx="32">
                  <c:v>104</c:v>
                </c:pt>
                <c:pt idx="34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0E-496A-A4A5-B67EC278C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532632"/>
        <c:axId val="591533944"/>
      </c:scatterChart>
      <c:scatterChart>
        <c:scatterStyle val="lineMarker"/>
        <c:varyColors val="0"/>
        <c:ser>
          <c:idx val="0"/>
          <c:order val="0"/>
          <c:tx>
            <c:strRef>
              <c:f>'PRE-TREATMENT'!$K$30</c:f>
              <c:strCache>
                <c:ptCount val="1"/>
                <c:pt idx="0">
                  <c:v>FOG% Removal efficiency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'PRE-TREATMENT'!$J$31:$J$66</c:f>
              <c:numCache>
                <c:formatCode>General</c:formatCode>
                <c:ptCount val="36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</c:numCache>
            </c:numRef>
          </c:xVal>
          <c:yVal>
            <c:numRef>
              <c:f>'PRE-TREATMENT'!$K$31:$K$66</c:f>
              <c:numCache>
                <c:formatCode>General</c:formatCode>
                <c:ptCount val="36"/>
                <c:pt idx="0">
                  <c:v>96.631578947368425</c:v>
                </c:pt>
                <c:pt idx="2">
                  <c:v>94.315789473684205</c:v>
                </c:pt>
                <c:pt idx="4">
                  <c:v>94.315789473684205</c:v>
                </c:pt>
                <c:pt idx="6">
                  <c:v>89.377537212449255</c:v>
                </c:pt>
                <c:pt idx="8">
                  <c:v>71.578947368421055</c:v>
                </c:pt>
                <c:pt idx="10">
                  <c:v>74.966170500676583</c:v>
                </c:pt>
                <c:pt idx="12">
                  <c:v>93.098782138024362</c:v>
                </c:pt>
                <c:pt idx="14">
                  <c:v>88.421052631578945</c:v>
                </c:pt>
                <c:pt idx="16">
                  <c:v>83.368421052631575</c:v>
                </c:pt>
                <c:pt idx="18">
                  <c:v>85.791610284167803</c:v>
                </c:pt>
                <c:pt idx="20">
                  <c:v>86.73883626522327</c:v>
                </c:pt>
                <c:pt idx="22">
                  <c:v>93.05263157894737</c:v>
                </c:pt>
                <c:pt idx="24">
                  <c:v>83.368421052631575</c:v>
                </c:pt>
                <c:pt idx="28">
                  <c:v>81.05263157894737</c:v>
                </c:pt>
                <c:pt idx="30">
                  <c:v>86.73883626522327</c:v>
                </c:pt>
                <c:pt idx="32">
                  <c:v>92.963464140730721</c:v>
                </c:pt>
                <c:pt idx="34">
                  <c:v>89.473684210526315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0E-496A-A4A5-B67EC278C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542144"/>
        <c:axId val="591543784"/>
      </c:scatterChart>
      <c:valAx>
        <c:axId val="591532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TIME, 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533944"/>
        <c:crosses val="autoZero"/>
        <c:crossBetween val="midCat"/>
      </c:valAx>
      <c:valAx>
        <c:axId val="59153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FOG Out-put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532632"/>
        <c:crosses val="autoZero"/>
        <c:crossBetween val="midCat"/>
      </c:valAx>
      <c:valAx>
        <c:axId val="5915437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FOG % REMOVAL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542144"/>
        <c:crosses val="max"/>
        <c:crossBetween val="midCat"/>
      </c:valAx>
      <c:valAx>
        <c:axId val="59154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1543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08763706814275"/>
          <c:y val="0.77419213337169412"/>
          <c:w val="0.491250723811404"/>
          <c:h val="0.18074899012639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BOD5% REMOVAL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'PRE-TREATMENT'!$S$30</c:f>
              <c:strCache>
                <c:ptCount val="1"/>
                <c:pt idx="0">
                  <c:v>BOD In-put (mg/L)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'PRE-TREATMENT'!$Q$31:$Q$44</c:f>
              <c:numCache>
                <c:formatCode>General</c:formatCode>
                <c:ptCount val="14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</c:numCache>
            </c:numRef>
          </c:xVal>
          <c:yVal>
            <c:numRef>
              <c:f>'PRE-TREATMENT'!$S$31:$S$44</c:f>
              <c:numCache>
                <c:formatCode>General</c:formatCode>
                <c:ptCount val="14"/>
                <c:pt idx="1">
                  <c:v>7333.33</c:v>
                </c:pt>
                <c:pt idx="3">
                  <c:v>7333.33</c:v>
                </c:pt>
                <c:pt idx="5">
                  <c:v>7333.33</c:v>
                </c:pt>
                <c:pt idx="7">
                  <c:v>7333.33</c:v>
                </c:pt>
                <c:pt idx="9">
                  <c:v>7333.33</c:v>
                </c:pt>
                <c:pt idx="11">
                  <c:v>7333.33</c:v>
                </c:pt>
                <c:pt idx="13">
                  <c:v>7333.33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C5-4FBE-BFC8-09546AE69A32}"/>
            </c:ext>
          </c:extLst>
        </c:ser>
        <c:ser>
          <c:idx val="2"/>
          <c:order val="2"/>
          <c:tx>
            <c:strRef>
              <c:f>'PRE-TREATMENT'!$T$30</c:f>
              <c:strCache>
                <c:ptCount val="1"/>
                <c:pt idx="0">
                  <c:v>BOD5 Out-put (mg/L)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'PRE-TREATMENT'!$Q$31:$Q$44</c:f>
              <c:numCache>
                <c:formatCode>General</c:formatCode>
                <c:ptCount val="14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</c:numCache>
            </c:numRef>
          </c:xVal>
          <c:yVal>
            <c:numRef>
              <c:f>'PRE-TREATMENT'!$T$31:$T$44</c:f>
              <c:numCache>
                <c:formatCode>General</c:formatCode>
                <c:ptCount val="14"/>
                <c:pt idx="1">
                  <c:v>2000</c:v>
                </c:pt>
                <c:pt idx="3">
                  <c:v>2875</c:v>
                </c:pt>
                <c:pt idx="5">
                  <c:v>1600</c:v>
                </c:pt>
                <c:pt idx="7">
                  <c:v>1250</c:v>
                </c:pt>
                <c:pt idx="9">
                  <c:v>1600</c:v>
                </c:pt>
                <c:pt idx="11">
                  <c:v>1715</c:v>
                </c:pt>
                <c:pt idx="13">
                  <c:v>1274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C5-4FBE-BFC8-09546AE6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074336"/>
        <c:axId val="403077944"/>
      </c:scatterChart>
      <c:scatterChart>
        <c:scatterStyle val="lineMarker"/>
        <c:varyColors val="0"/>
        <c:ser>
          <c:idx val="0"/>
          <c:order val="0"/>
          <c:tx>
            <c:strRef>
              <c:f>'PRE-TREATMENT'!$R$30</c:f>
              <c:strCache>
                <c:ptCount val="1"/>
                <c:pt idx="0">
                  <c:v>BOD5 % Removal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'PRE-TREATMENT'!$Q$31:$Q$44</c:f>
              <c:numCache>
                <c:formatCode>General</c:formatCode>
                <c:ptCount val="14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</c:numCache>
            </c:numRef>
          </c:xVal>
          <c:yVal>
            <c:numRef>
              <c:f>'PRE-TREATMENT'!$R$31:$R$44</c:f>
              <c:numCache>
                <c:formatCode>General</c:formatCode>
                <c:ptCount val="14"/>
                <c:pt idx="1">
                  <c:v>72.727272727272734</c:v>
                </c:pt>
                <c:pt idx="3">
                  <c:v>60.795454545454554</c:v>
                </c:pt>
                <c:pt idx="5">
                  <c:v>78.181818181818187</c:v>
                </c:pt>
                <c:pt idx="7">
                  <c:v>82.954545454545453</c:v>
                </c:pt>
                <c:pt idx="9">
                  <c:v>78.181818181818187</c:v>
                </c:pt>
                <c:pt idx="11">
                  <c:v>76.61363636363636</c:v>
                </c:pt>
                <c:pt idx="13">
                  <c:v>82.627272727272725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C5-4FBE-BFC8-09546AE6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811296"/>
        <c:axId val="550813264"/>
      </c:scatterChart>
      <c:valAx>
        <c:axId val="403074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077944"/>
        <c:crosses val="autoZero"/>
        <c:crossBetween val="midCat"/>
      </c:valAx>
      <c:valAx>
        <c:axId val="40307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074336"/>
        <c:crosses val="autoZero"/>
        <c:crossBetween val="midCat"/>
      </c:valAx>
      <c:valAx>
        <c:axId val="5508132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11296"/>
        <c:crosses val="max"/>
        <c:crossBetween val="midCat"/>
      </c:valAx>
      <c:valAx>
        <c:axId val="55081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0813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BOD5% REMOVAL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'PRE-TREATMENT'!$S$30</c:f>
              <c:strCache>
                <c:ptCount val="1"/>
                <c:pt idx="0">
                  <c:v>BOD In-put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'PRE-TREATMENT'!$Q$31:$Q$44</c:f>
              <c:numCache>
                <c:formatCode>General</c:formatCode>
                <c:ptCount val="14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</c:numCache>
            </c:numRef>
          </c:xVal>
          <c:yVal>
            <c:numRef>
              <c:f>'PRE-TREATMENT'!$S$31:$S$44</c:f>
              <c:numCache>
                <c:formatCode>General</c:formatCode>
                <c:ptCount val="14"/>
                <c:pt idx="1">
                  <c:v>7333.33</c:v>
                </c:pt>
                <c:pt idx="3">
                  <c:v>7333.33</c:v>
                </c:pt>
                <c:pt idx="5">
                  <c:v>7333.33</c:v>
                </c:pt>
                <c:pt idx="7">
                  <c:v>7333.33</c:v>
                </c:pt>
                <c:pt idx="9">
                  <c:v>7333.33</c:v>
                </c:pt>
                <c:pt idx="11">
                  <c:v>7333.33</c:v>
                </c:pt>
                <c:pt idx="13">
                  <c:v>7333.33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AA-4733-B54E-72947D3B8359}"/>
            </c:ext>
          </c:extLst>
        </c:ser>
        <c:ser>
          <c:idx val="2"/>
          <c:order val="2"/>
          <c:tx>
            <c:strRef>
              <c:f>'PRE-TREATMENT'!$T$30</c:f>
              <c:strCache>
                <c:ptCount val="1"/>
                <c:pt idx="0">
                  <c:v>BOD5 Out-put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'PRE-TREATMENT'!$Q$31:$Q$44</c:f>
              <c:numCache>
                <c:formatCode>General</c:formatCode>
                <c:ptCount val="14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</c:numCache>
            </c:numRef>
          </c:xVal>
          <c:yVal>
            <c:numRef>
              <c:f>'PRE-TREATMENT'!$T$31:$T$44</c:f>
              <c:numCache>
                <c:formatCode>General</c:formatCode>
                <c:ptCount val="14"/>
                <c:pt idx="1">
                  <c:v>2000</c:v>
                </c:pt>
                <c:pt idx="3">
                  <c:v>2875</c:v>
                </c:pt>
                <c:pt idx="5">
                  <c:v>1600</c:v>
                </c:pt>
                <c:pt idx="7">
                  <c:v>1250</c:v>
                </c:pt>
                <c:pt idx="9">
                  <c:v>1600</c:v>
                </c:pt>
                <c:pt idx="11">
                  <c:v>1715</c:v>
                </c:pt>
                <c:pt idx="13">
                  <c:v>1274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AA-4733-B54E-72947D3B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750664"/>
        <c:axId val="545748040"/>
      </c:scatterChart>
      <c:scatterChart>
        <c:scatterStyle val="lineMarker"/>
        <c:varyColors val="0"/>
        <c:ser>
          <c:idx val="0"/>
          <c:order val="0"/>
          <c:tx>
            <c:strRef>
              <c:f>'PRE-TREATMENT'!$R$30</c:f>
              <c:strCache>
                <c:ptCount val="1"/>
                <c:pt idx="0">
                  <c:v>BOD5 % Removal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'PRE-TREATMENT'!$Q$31:$Q$44</c:f>
              <c:numCache>
                <c:formatCode>General</c:formatCode>
                <c:ptCount val="14"/>
                <c:pt idx="1">
                  <c:v>1</c:v>
                </c:pt>
                <c:pt idx="3">
                  <c:v>2</c:v>
                </c:pt>
                <c:pt idx="5">
                  <c:v>3</c:v>
                </c:pt>
                <c:pt idx="7">
                  <c:v>4</c:v>
                </c:pt>
                <c:pt idx="9">
                  <c:v>5</c:v>
                </c:pt>
                <c:pt idx="11">
                  <c:v>6</c:v>
                </c:pt>
                <c:pt idx="13">
                  <c:v>7</c:v>
                </c:pt>
              </c:numCache>
            </c:numRef>
          </c:xVal>
          <c:yVal>
            <c:numRef>
              <c:f>'PRE-TREATMENT'!$R$31:$R$44</c:f>
              <c:numCache>
                <c:formatCode>General</c:formatCode>
                <c:ptCount val="14"/>
                <c:pt idx="1">
                  <c:v>72.727272727272734</c:v>
                </c:pt>
                <c:pt idx="3">
                  <c:v>60.795454545454554</c:v>
                </c:pt>
                <c:pt idx="5">
                  <c:v>78.181818181818187</c:v>
                </c:pt>
                <c:pt idx="7">
                  <c:v>82.954545454545453</c:v>
                </c:pt>
                <c:pt idx="9">
                  <c:v>78.181818181818187</c:v>
                </c:pt>
                <c:pt idx="11">
                  <c:v>76.61363636363636</c:v>
                </c:pt>
                <c:pt idx="13">
                  <c:v>82.627272727272725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AA-4733-B54E-72947D3B8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763128"/>
        <c:axId val="545764440"/>
      </c:scatterChart>
      <c:valAx>
        <c:axId val="545750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TIME, 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8040"/>
        <c:crosses val="autoZero"/>
        <c:crossBetween val="midCat"/>
      </c:valAx>
      <c:valAx>
        <c:axId val="54574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BOD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50664"/>
        <c:crosses val="autoZero"/>
        <c:crossBetween val="midCat"/>
      </c:valAx>
      <c:valAx>
        <c:axId val="5457644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chemeClr val="tx1"/>
                    </a:solidFill>
                  </a:rPr>
                  <a:t>BOD5% REMOVAL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63128"/>
        <c:crosses val="max"/>
        <c:crossBetween val="midCat"/>
      </c:valAx>
      <c:valAx>
        <c:axId val="545763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764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0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103</xdr:row>
      <xdr:rowOff>180975</xdr:rowOff>
    </xdr:from>
    <xdr:to>
      <xdr:col>11</xdr:col>
      <xdr:colOff>76199</xdr:colOff>
      <xdr:row>118</xdr:row>
      <xdr:rowOff>147638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5C586F8-BC36-44BF-9F21-D6E83D6D2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1647827</xdr:colOff>
      <xdr:row>106</xdr:row>
      <xdr:rowOff>95250</xdr:rowOff>
    </xdr:from>
    <xdr:to>
      <xdr:col>10</xdr:col>
      <xdr:colOff>152404</xdr:colOff>
      <xdr:row>107</xdr:row>
      <xdr:rowOff>138112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50101B39-0927-46DE-8208-69DB6E9B8F5C}"/>
            </a:ext>
          </a:extLst>
        </xdr:cNvPr>
        <xdr:cNvSpPr/>
      </xdr:nvSpPr>
      <xdr:spPr>
        <a:xfrm rot="16200000">
          <a:off x="9536910" y="20219192"/>
          <a:ext cx="233362" cy="3419477"/>
        </a:xfrm>
        <a:prstGeom prst="rightBrace">
          <a:avLst>
            <a:gd name="adj1" fmla="val 8333"/>
            <a:gd name="adj2" fmla="val 50277"/>
          </a:avLst>
        </a:prstGeom>
        <a:ln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6</xdr:col>
      <xdr:colOff>180975</xdr:colOff>
      <xdr:row>110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121085A-04B9-4ACA-89AF-F330B7AAB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0.59484</cdr:x>
      <cdr:y>0.36294</cdr:y>
    </cdr:from>
    <cdr:to>
      <cdr:x>0.85083</cdr:x>
      <cdr:y>0.48239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276D88B-0264-41A7-884A-5CD326814E87}"/>
            </a:ext>
          </a:extLst>
        </cdr:cNvPr>
        <cdr:cNvSpPr txBox="1"/>
      </cdr:nvSpPr>
      <cdr:spPr>
        <a:xfrm xmlns:a="http://schemas.openxmlformats.org/drawingml/2006/main">
          <a:off x="3076576" y="1128713"/>
          <a:ext cx="13239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Optimum operation</a:t>
          </a:r>
        </a:p>
      </cdr:txBody>
    </cdr:sp>
  </cdr:relSizeAnchor>
  <cdr:relSizeAnchor xmlns:cdr="http://schemas.openxmlformats.org/drawingml/2006/chartDrawing">
    <cdr:from>
      <cdr:x>0.18232</cdr:x>
      <cdr:y>0.21286</cdr:y>
    </cdr:from>
    <cdr:to>
      <cdr:x>0.21731</cdr:x>
      <cdr:y>0.27412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AECA2F3E-5CD1-4F7B-BEBD-7C58814CFA40}"/>
            </a:ext>
          </a:extLst>
        </cdr:cNvPr>
        <cdr:cNvCxnSpPr/>
      </cdr:nvCxnSpPr>
      <cdr:spPr>
        <a:xfrm xmlns:a="http://schemas.openxmlformats.org/drawingml/2006/main" flipH="1">
          <a:off x="942976" y="661988"/>
          <a:ext cx="180975" cy="190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0.16257</cdr:x>
      <cdr:y>0.2098</cdr:y>
    </cdr:from>
    <cdr:to>
      <cdr:x>0.1966</cdr:x>
      <cdr:y>0.27718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545293A-E810-4AAF-B3C9-8A4FE4F27201}"/>
            </a:ext>
          </a:extLst>
        </cdr:cNvPr>
        <cdr:cNvCxnSpPr/>
      </cdr:nvCxnSpPr>
      <cdr:spPr>
        <a:xfrm xmlns:a="http://schemas.openxmlformats.org/drawingml/2006/main" flipV="1">
          <a:off x="819151" y="652464"/>
          <a:ext cx="171450" cy="2095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0.17006</cdr:x>
      <cdr:y>0.20486</cdr:y>
    </cdr:from>
    <cdr:to>
      <cdr:x>0.20499</cdr:x>
      <cdr:y>0.27368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C7F5F00-ED15-4A58-AB44-5BB3EB6F6EFB}"/>
            </a:ext>
          </a:extLst>
        </cdr:cNvPr>
        <cdr:cNvCxnSpPr/>
      </cdr:nvCxnSpPr>
      <cdr:spPr>
        <a:xfrm xmlns:a="http://schemas.openxmlformats.org/drawingml/2006/main" flipH="1">
          <a:off x="876300" y="642939"/>
          <a:ext cx="180000" cy="216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0.3018</cdr:x>
      <cdr:y>0.36161</cdr:y>
    </cdr:from>
    <cdr:to>
      <cdr:x>0.4009</cdr:x>
      <cdr:y>0.46732</cdr:y>
    </cdr:to>
    <cdr:sp macro="" textlink="">
      <cdr:nvSpPr>
        <cdr:cNvPr id="4" name="Left Brace 3">
          <a:extLst xmlns:a="http://schemas.openxmlformats.org/drawingml/2006/main">
            <a:ext uri="{FF2B5EF4-FFF2-40B4-BE49-F238E27FC236}">
              <a16:creationId xmlns:a16="http://schemas.microsoft.com/office/drawing/2014/main" id="{79F06416-D479-4FFA-8C2A-9B81543C902F}"/>
            </a:ext>
          </a:extLst>
        </cdr:cNvPr>
        <cdr:cNvSpPr/>
      </cdr:nvSpPr>
      <cdr:spPr>
        <a:xfrm xmlns:a="http://schemas.openxmlformats.org/drawingml/2006/main" rot="16200000">
          <a:off x="1676402" y="1157289"/>
          <a:ext cx="361950" cy="523875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0.21261</cdr:x>
      <cdr:y>0.4854</cdr:y>
    </cdr:from>
    <cdr:to>
      <cdr:x>0.38559</cdr:x>
      <cdr:y>0.75243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70E29F37-CA1A-4B61-BA18-17864F9DD478}"/>
            </a:ext>
          </a:extLst>
        </cdr:cNvPr>
        <cdr:cNvSpPr txBox="1"/>
      </cdr:nvSpPr>
      <cdr:spPr>
        <a:xfrm xmlns:a="http://schemas.openxmlformats.org/drawingml/2006/main">
          <a:off x="1123951" y="16621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High TDS values yielded</a:t>
          </a:r>
        </a:p>
        <a:p xmlns:a="http://schemas.openxmlformats.org/drawingml/2006/main">
          <a:r>
            <a:rPr lang="en-ZA" sz="1100" baseline="0"/>
            <a:t> a drop in COD</a:t>
          </a:r>
          <a:endParaRPr lang="en-ZA" sz="1100"/>
        </a:p>
      </cdr:txBody>
    </cdr:sp>
  </cdr:relSizeAnchor>
  <cdr:relSizeAnchor xmlns:cdr="http://schemas.openxmlformats.org/drawingml/2006/chartDrawing">
    <cdr:from>
      <cdr:x>0.72793</cdr:x>
      <cdr:y>0.57997</cdr:y>
    </cdr:from>
    <cdr:to>
      <cdr:x>0.81171</cdr:x>
      <cdr:y>0.64534</cdr:y>
    </cdr:to>
    <cdr:sp macro="" textlink="">
      <cdr:nvSpPr>
        <cdr:cNvPr id="6" name="Left Brace 5">
          <a:extLst xmlns:a="http://schemas.openxmlformats.org/drawingml/2006/main">
            <a:ext uri="{FF2B5EF4-FFF2-40B4-BE49-F238E27FC236}">
              <a16:creationId xmlns:a16="http://schemas.microsoft.com/office/drawing/2014/main" id="{42DF90F9-6A9B-4031-BFC4-18A045487ACF}"/>
            </a:ext>
          </a:extLst>
        </cdr:cNvPr>
        <cdr:cNvSpPr/>
      </cdr:nvSpPr>
      <cdr:spPr>
        <a:xfrm xmlns:a="http://schemas.openxmlformats.org/drawingml/2006/main" rot="16200000">
          <a:off x="3957640" y="1876428"/>
          <a:ext cx="223838" cy="442910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0.60721</cdr:x>
      <cdr:y>0.62726</cdr:y>
    </cdr:from>
    <cdr:to>
      <cdr:x>0.87387</cdr:x>
      <cdr:y>0.93602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28FA3F1B-80AC-4CF3-BBA2-ED33D34CB219}"/>
            </a:ext>
          </a:extLst>
        </cdr:cNvPr>
        <cdr:cNvSpPr txBox="1"/>
      </cdr:nvSpPr>
      <cdr:spPr>
        <a:xfrm xmlns:a="http://schemas.openxmlformats.org/drawingml/2006/main">
          <a:off x="3209926" y="2147889"/>
          <a:ext cx="1409700" cy="105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Low TDS values yielded</a:t>
          </a:r>
        </a:p>
        <a:p xmlns:a="http://schemas.openxmlformats.org/drawingml/2006/main">
          <a:r>
            <a:rPr lang="en-ZA" sz="1100"/>
            <a:t>higher COD 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0.16325</cdr:x>
      <cdr:y>0.38096</cdr:y>
    </cdr:from>
    <cdr:to>
      <cdr:x>0.19544</cdr:x>
      <cdr:y>0.38394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E790C5D-BA6B-4A68-9467-B97B1A3055F6}"/>
            </a:ext>
          </a:extLst>
        </cdr:cNvPr>
        <cdr:cNvCxnSpPr/>
      </cdr:nvCxnSpPr>
      <cdr:spPr>
        <a:xfrm xmlns:a="http://schemas.openxmlformats.org/drawingml/2006/main">
          <a:off x="887118" y="1242816"/>
          <a:ext cx="174921" cy="97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1409700</xdr:colOff>
      <xdr:row>1</xdr:row>
      <xdr:rowOff>95250</xdr:rowOff>
    </xdr:from>
    <xdr:ext cx="1323975" cy="34290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409700" y="285750"/>
          <a:ext cx="1323975" cy="3429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lvl="0"/>
          <a:endParaRPr lang="en-GB" sz="1100"/>
        </a:p>
      </xdr:txBody>
    </xdr:sp>
    <xdr:clientData fLocksWithSheet="0"/>
  </xdr:oneCellAnchor>
  <xdr:oneCellAnchor>
    <xdr:from>
      <xdr:col>0</xdr:col>
      <xdr:colOff>9525</xdr:colOff>
      <xdr:row>1</xdr:row>
      <xdr:rowOff>76200</xdr:rowOff>
    </xdr:from>
    <xdr:ext cx="952500" cy="36195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9525" y="266700"/>
          <a:ext cx="952500" cy="3619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lvl="0"/>
          <a:endParaRPr lang="en-GB" sz="1100"/>
        </a:p>
      </xdr:txBody>
    </xdr:sp>
    <xdr:clientData fLocksWithSheet="0"/>
  </xdr:oneCellAnchor>
  <xdr:oneCellAnchor>
    <xdr:from>
      <xdr:col>0</xdr:col>
      <xdr:colOff>1554480</xdr:colOff>
      <xdr:row>1</xdr:row>
      <xdr:rowOff>125730</xdr:rowOff>
    </xdr:from>
    <xdr:ext cx="1328248" cy="3504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SpPr txBox="1"/>
          </xdr:nvSpPr>
          <xdr:spPr>
            <a:xfrm>
              <a:off x="1554480" y="316230"/>
              <a:ext cx="1328248" cy="35041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𝑂𝐿𝑅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𝑓𝑒𝑒𝑑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𝐶𝑂𝐷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𝑓𝑒𝑒𝑑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𝑟𝑒𝑎𝑐𝑡𝑜𝑟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4E36C4EB-84FB-4840-8834-C9695A1E4CAE}"/>
                </a:ext>
              </a:extLst>
            </xdr:cNvPr>
            <xdr:cNvSpPr txBox="1"/>
          </xdr:nvSpPr>
          <xdr:spPr>
            <a:xfrm>
              <a:off x="1554480" y="316230"/>
              <a:ext cx="1328248" cy="35041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𝑂𝐿𝑅=(𝑄_𝑓𝑒𝑒𝑑 〖𝐶𝑂𝐷〗_𝑓𝑒𝑒𝑑)/𝑉_𝑟𝑒𝑎𝑐𝑡𝑜𝑟 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0</xdr:col>
      <xdr:colOff>15240</xdr:colOff>
      <xdr:row>1</xdr:row>
      <xdr:rowOff>80010</xdr:rowOff>
    </xdr:from>
    <xdr:ext cx="961032" cy="3645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SpPr txBox="1"/>
          </xdr:nvSpPr>
          <xdr:spPr>
            <a:xfrm>
              <a:off x="15240" y="270510"/>
              <a:ext cx="961032" cy="36458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𝐻𝑅𝑇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𝑟𝑒𝑎𝑐𝑡𝑜𝑟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𝑄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𝑓𝑒𝑒𝑑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DC92BA82-E82E-439C-B241-7F16E9E3171F}"/>
                </a:ext>
              </a:extLst>
            </xdr:cNvPr>
            <xdr:cNvSpPr txBox="1"/>
          </xdr:nvSpPr>
          <xdr:spPr>
            <a:xfrm>
              <a:off x="15240" y="270510"/>
              <a:ext cx="961032" cy="36458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𝐻𝑅𝑇=𝑉_𝑟𝑒𝑎𝑐𝑡𝑜𝑟/𝑄_𝑓𝑒𝑒𝑑 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0.10601</cdr:x>
      <cdr:y>0.71532</cdr:y>
    </cdr:from>
    <cdr:to>
      <cdr:x>0.26325</cdr:x>
      <cdr:y>0.78752</cdr:y>
    </cdr:to>
    <cdr:sp macro="" textlink="">
      <cdr:nvSpPr>
        <cdr:cNvPr id="3" name="Left Brace 2">
          <a:extLst xmlns:a="http://schemas.openxmlformats.org/drawingml/2006/main">
            <a:ext uri="{FF2B5EF4-FFF2-40B4-BE49-F238E27FC236}">
              <a16:creationId xmlns:a16="http://schemas.microsoft.com/office/drawing/2014/main" id="{FE6A421D-C541-469E-B8ED-BB515AF4E8BB}"/>
            </a:ext>
          </a:extLst>
        </cdr:cNvPr>
        <cdr:cNvSpPr/>
      </cdr:nvSpPr>
      <cdr:spPr>
        <a:xfrm xmlns:a="http://schemas.openxmlformats.org/drawingml/2006/main" rot="5400000">
          <a:off x="893411" y="1698280"/>
          <a:ext cx="203901" cy="847724"/>
        </a:xfrm>
        <a:prstGeom xmlns:a="http://schemas.openxmlformats.org/drawingml/2006/main" prst="leftBrace">
          <a:avLst>
            <a:gd name="adj1" fmla="val 8333"/>
            <a:gd name="adj2" fmla="val 49040"/>
          </a:avLst>
        </a:prstGeom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0.13428</cdr:x>
      <cdr:y>0.6356</cdr:y>
    </cdr:from>
    <cdr:to>
      <cdr:x>0.30389</cdr:x>
      <cdr:y>0.95938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BE1832C-E2FD-4407-BDFB-C7409E1B64F4}"/>
            </a:ext>
          </a:extLst>
        </cdr:cNvPr>
        <cdr:cNvSpPr txBox="1"/>
      </cdr:nvSpPr>
      <cdr:spPr>
        <a:xfrm xmlns:a="http://schemas.openxmlformats.org/drawingml/2006/main" rot="11831688">
          <a:off x="723900" y="17950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0.09187</cdr:x>
      <cdr:y>0.63912</cdr:y>
    </cdr:from>
    <cdr:to>
      <cdr:x>0.26148</cdr:x>
      <cdr:y>0.9629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C5A2243E-A25D-4648-A148-6D6103A0DC07}"/>
            </a:ext>
          </a:extLst>
        </cdr:cNvPr>
        <cdr:cNvSpPr txBox="1"/>
      </cdr:nvSpPr>
      <cdr:spPr>
        <a:xfrm xmlns:a="http://schemas.openxmlformats.org/drawingml/2006/main">
          <a:off x="495300" y="18049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900"/>
            <a:t>SGBR Start-up</a:t>
          </a:r>
        </a:p>
      </cdr:txBody>
    </cdr:sp>
  </cdr:relSizeAnchor>
  <cdr:relSizeAnchor xmlns:cdr="http://schemas.openxmlformats.org/drawingml/2006/chartDrawing">
    <cdr:from>
      <cdr:x>0.4258</cdr:x>
      <cdr:y>0.66948</cdr:y>
    </cdr:from>
    <cdr:to>
      <cdr:x>0.59541</cdr:x>
      <cdr:y>0.99325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DFEAC99F-2BB9-4272-A46E-5850474CD571}"/>
            </a:ext>
          </a:extLst>
        </cdr:cNvPr>
        <cdr:cNvSpPr txBox="1"/>
      </cdr:nvSpPr>
      <cdr:spPr>
        <a:xfrm xmlns:a="http://schemas.openxmlformats.org/drawingml/2006/main">
          <a:off x="2295525" y="18907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0.46996</cdr:x>
      <cdr:y>0.63238</cdr:y>
    </cdr:from>
    <cdr:to>
      <cdr:x>0.63958</cdr:x>
      <cdr:y>0.95616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B2950D10-8433-485F-BDDB-E53F03BFD3A5}"/>
            </a:ext>
          </a:extLst>
        </cdr:cNvPr>
        <cdr:cNvSpPr txBox="1"/>
      </cdr:nvSpPr>
      <cdr:spPr>
        <a:xfrm xmlns:a="http://schemas.openxmlformats.org/drawingml/2006/main">
          <a:off x="2533650" y="17859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900"/>
            <a:t>Methanogenesis supression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51</xdr:row>
      <xdr:rowOff>166687</xdr:rowOff>
    </xdr:from>
    <xdr:to>
      <xdr:col>11</xdr:col>
      <xdr:colOff>295274</xdr:colOff>
      <xdr:row>66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48</xdr:row>
      <xdr:rowOff>138112</xdr:rowOff>
    </xdr:from>
    <xdr:to>
      <xdr:col>6</xdr:col>
      <xdr:colOff>371475</xdr:colOff>
      <xdr:row>63</xdr:row>
      <xdr:rowOff>23812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1866901</xdr:colOff>
      <xdr:row>62</xdr:row>
      <xdr:rowOff>76199</xdr:rowOff>
    </xdr:from>
    <xdr:to>
      <xdr:col>10</xdr:col>
      <xdr:colOff>371478</xdr:colOff>
      <xdr:row>63</xdr:row>
      <xdr:rowOff>119061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16200000">
          <a:off x="9755984" y="10294141"/>
          <a:ext cx="233362" cy="3419477"/>
        </a:xfrm>
        <a:prstGeom prst="rightBrace">
          <a:avLst>
            <a:gd name="adj1" fmla="val 8333"/>
            <a:gd name="adj2" fmla="val 50277"/>
          </a:avLst>
        </a:prstGeom>
        <a:ln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0.10601</cdr:x>
      <cdr:y>0.71532</cdr:y>
    </cdr:from>
    <cdr:to>
      <cdr:x>0.26325</cdr:x>
      <cdr:y>0.78752</cdr:y>
    </cdr:to>
    <cdr:sp macro="" textlink="">
      <cdr:nvSpPr>
        <cdr:cNvPr id="3" name="Left Brace 2">
          <a:extLst xmlns:a="http://schemas.openxmlformats.org/drawingml/2006/main">
            <a:ext uri="{FF2B5EF4-FFF2-40B4-BE49-F238E27FC236}">
              <a16:creationId xmlns:a16="http://schemas.microsoft.com/office/drawing/2014/main" id="{FE6A421D-C541-469E-B8ED-BB515AF4E8BB}"/>
            </a:ext>
          </a:extLst>
        </cdr:cNvPr>
        <cdr:cNvSpPr/>
      </cdr:nvSpPr>
      <cdr:spPr>
        <a:xfrm xmlns:a="http://schemas.openxmlformats.org/drawingml/2006/main" rot="5400000">
          <a:off x="893411" y="1698280"/>
          <a:ext cx="203901" cy="847724"/>
        </a:xfrm>
        <a:prstGeom xmlns:a="http://schemas.openxmlformats.org/drawingml/2006/main" prst="leftBrace">
          <a:avLst>
            <a:gd name="adj1" fmla="val 8333"/>
            <a:gd name="adj2" fmla="val 49040"/>
          </a:avLst>
        </a:prstGeom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0.13428</cdr:x>
      <cdr:y>0.6356</cdr:y>
    </cdr:from>
    <cdr:to>
      <cdr:x>0.30389</cdr:x>
      <cdr:y>0.95938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FBE1832C-E2FD-4407-BDFB-C7409E1B64F4}"/>
            </a:ext>
          </a:extLst>
        </cdr:cNvPr>
        <cdr:cNvSpPr txBox="1"/>
      </cdr:nvSpPr>
      <cdr:spPr>
        <a:xfrm xmlns:a="http://schemas.openxmlformats.org/drawingml/2006/main" rot="11831688">
          <a:off x="723900" y="17950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0.09187</cdr:x>
      <cdr:y>0.63912</cdr:y>
    </cdr:from>
    <cdr:to>
      <cdr:x>0.26148</cdr:x>
      <cdr:y>0.9629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C5A2243E-A25D-4648-A148-6D6103A0DC07}"/>
            </a:ext>
          </a:extLst>
        </cdr:cNvPr>
        <cdr:cNvSpPr txBox="1"/>
      </cdr:nvSpPr>
      <cdr:spPr>
        <a:xfrm xmlns:a="http://schemas.openxmlformats.org/drawingml/2006/main">
          <a:off x="495300" y="18049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900"/>
            <a:t>SGBR Start-up</a:t>
          </a:r>
        </a:p>
      </cdr:txBody>
    </cdr:sp>
  </cdr:relSizeAnchor>
  <cdr:relSizeAnchor xmlns:cdr="http://schemas.openxmlformats.org/drawingml/2006/chartDrawing">
    <cdr:from>
      <cdr:x>0.4258</cdr:x>
      <cdr:y>0.66948</cdr:y>
    </cdr:from>
    <cdr:to>
      <cdr:x>0.59541</cdr:x>
      <cdr:y>0.99325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DFEAC99F-2BB9-4272-A46E-5850474CD571}"/>
            </a:ext>
          </a:extLst>
        </cdr:cNvPr>
        <cdr:cNvSpPr txBox="1"/>
      </cdr:nvSpPr>
      <cdr:spPr>
        <a:xfrm xmlns:a="http://schemas.openxmlformats.org/drawingml/2006/main">
          <a:off x="2295525" y="18907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0.46996</cdr:x>
      <cdr:y>0.63238</cdr:y>
    </cdr:from>
    <cdr:to>
      <cdr:x>0.63958</cdr:x>
      <cdr:y>0.95616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B2950D10-8433-485F-BDDB-E53F03BFD3A5}"/>
            </a:ext>
          </a:extLst>
        </cdr:cNvPr>
        <cdr:cNvSpPr txBox="1"/>
      </cdr:nvSpPr>
      <cdr:spPr>
        <a:xfrm xmlns:a="http://schemas.openxmlformats.org/drawingml/2006/main">
          <a:off x="2533650" y="17859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900"/>
            <a:t>Methanogenesis supression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609599</xdr:colOff>
      <xdr:row>71</xdr:row>
      <xdr:rowOff>47624</xdr:rowOff>
    </xdr:from>
    <xdr:to>
      <xdr:col>26</xdr:col>
      <xdr:colOff>590550</xdr:colOff>
      <xdr:row>89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7D14AE-CB67-4098-8B87-E586199B17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71</xdr:row>
      <xdr:rowOff>71436</xdr:rowOff>
    </xdr:from>
    <xdr:to>
      <xdr:col>17</xdr:col>
      <xdr:colOff>466725</xdr:colOff>
      <xdr:row>89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DBE12D-F690-44BB-A9DC-055E1F62C7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742949</xdr:colOff>
      <xdr:row>90</xdr:row>
      <xdr:rowOff>80962</xdr:rowOff>
    </xdr:from>
    <xdr:to>
      <xdr:col>14</xdr:col>
      <xdr:colOff>219075</xdr:colOff>
      <xdr:row>106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B2754B-8360-4466-B8E4-E9ECA80CDF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1562100</xdr:colOff>
      <xdr:row>94</xdr:row>
      <xdr:rowOff>47625</xdr:rowOff>
    </xdr:from>
    <xdr:to>
      <xdr:col>10</xdr:col>
      <xdr:colOff>1733550</xdr:colOff>
      <xdr:row>94</xdr:row>
      <xdr:rowOff>85725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88425D72-29A3-4981-A33A-2EF10A0C491B}"/>
            </a:ext>
          </a:extLst>
        </xdr:cNvPr>
        <xdr:cNvCxnSpPr/>
      </xdr:nvCxnSpPr>
      <xdr:spPr>
        <a:xfrm>
          <a:off x="9925050" y="17954625"/>
          <a:ext cx="171450" cy="3810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1562100</xdr:colOff>
      <xdr:row>94</xdr:row>
      <xdr:rowOff>57150</xdr:rowOff>
    </xdr:from>
    <xdr:to>
      <xdr:col>7</xdr:col>
      <xdr:colOff>1733550</xdr:colOff>
      <xdr:row>94</xdr:row>
      <xdr:rowOff>85725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B1BC1820-0C0A-4B5F-94B2-A7EAB1287BA1}"/>
            </a:ext>
          </a:extLst>
        </xdr:cNvPr>
        <xdr:cNvCxnSpPr/>
      </xdr:nvCxnSpPr>
      <xdr:spPr>
        <a:xfrm>
          <a:off x="9925050" y="17964150"/>
          <a:ext cx="171450" cy="28575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276225</xdr:colOff>
      <xdr:row>95</xdr:row>
      <xdr:rowOff>95250</xdr:rowOff>
    </xdr:from>
    <xdr:to>
      <xdr:col>17</xdr:col>
      <xdr:colOff>476250</xdr:colOff>
      <xdr:row>95</xdr:row>
      <xdr:rowOff>133350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19A02472-96AD-4894-97ED-798274F44874}"/>
            </a:ext>
          </a:extLst>
        </xdr:cNvPr>
        <xdr:cNvCxnSpPr/>
      </xdr:nvCxnSpPr>
      <xdr:spPr>
        <a:xfrm>
          <a:off x="15925800" y="18192750"/>
          <a:ext cx="200025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0</xdr:colOff>
      <xdr:row>91</xdr:row>
      <xdr:rowOff>0</xdr:rowOff>
    </xdr:from>
    <xdr:to>
      <xdr:col>24</xdr:col>
      <xdr:colOff>500338</xdr:colOff>
      <xdr:row>108</xdr:row>
      <xdr:rowOff>29239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E25C356-1249-492F-AA04-9D581D7F9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039975" y="17335500"/>
          <a:ext cx="5377138" cy="3267739"/>
        </a:xfrm>
        <a:prstGeom prst="rect">
          <a:avLst/>
        </a:prstGeom>
      </xdr:spPr>
    </xdr:pic>
    <xdr:clientData/>
  </xdr:twoCellAnchor>
  <xdr:twoCellAnchor>
    <xdr:from>
      <xdr:col>28</xdr:col>
      <xdr:colOff>247650</xdr:colOff>
      <xdr:row>50</xdr:row>
      <xdr:rowOff>71437</xdr:rowOff>
    </xdr:from>
    <xdr:to>
      <xdr:col>35</xdr:col>
      <xdr:colOff>552450</xdr:colOff>
      <xdr:row>64</xdr:row>
      <xdr:rowOff>147637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4EFBDC-CF79-4284-92AC-970C1CEE7D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523874</xdr:colOff>
      <xdr:row>27</xdr:row>
      <xdr:rowOff>185736</xdr:rowOff>
    </xdr:from>
    <xdr:to>
      <xdr:col>32</xdr:col>
      <xdr:colOff>438150</xdr:colOff>
      <xdr:row>45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75167A-C3C3-4C93-9280-0D2C214B04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400049</xdr:colOff>
      <xdr:row>53</xdr:row>
      <xdr:rowOff>71436</xdr:rowOff>
    </xdr:from>
    <xdr:to>
      <xdr:col>50</xdr:col>
      <xdr:colOff>333374</xdr:colOff>
      <xdr:row>68</xdr:row>
      <xdr:rowOff>180975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EE54562-F101-4C28-BE06-8481D2B2E8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71</xdr:row>
      <xdr:rowOff>9525</xdr:rowOff>
    </xdr:from>
    <xdr:to>
      <xdr:col>15</xdr:col>
      <xdr:colOff>104775</xdr:colOff>
      <xdr:row>88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954443-CDC1-46AC-8F48-D709740EA7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866775</xdr:colOff>
      <xdr:row>74</xdr:row>
      <xdr:rowOff>171450</xdr:rowOff>
    </xdr:from>
    <xdr:to>
      <xdr:col>0</xdr:col>
      <xdr:colOff>866775</xdr:colOff>
      <xdr:row>76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5749F4C-E29F-4021-A9A4-E616164AA8B6}"/>
            </a:ext>
          </a:extLst>
        </xdr:cNvPr>
        <xdr:cNvCxnSpPr/>
      </xdr:nvCxnSpPr>
      <xdr:spPr>
        <a:xfrm flipV="1">
          <a:off x="866775" y="14268450"/>
          <a:ext cx="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1476375</xdr:colOff>
      <xdr:row>89</xdr:row>
      <xdr:rowOff>100012</xdr:rowOff>
    </xdr:from>
    <xdr:to>
      <xdr:col>6</xdr:col>
      <xdr:colOff>352425</xdr:colOff>
      <xdr:row>106</xdr:row>
      <xdr:rowOff>28576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FF21A7F-48C5-4D4C-ACBE-E7D283B7CD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523875</xdr:colOff>
      <xdr:row>89</xdr:row>
      <xdr:rowOff>104775</xdr:rowOff>
    </xdr:from>
    <xdr:to>
      <xdr:col>1</xdr:col>
      <xdr:colOff>762000</xdr:colOff>
      <xdr:row>91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EF54B8C8-1C9E-46EE-B1ED-54355A292AF6}"/>
            </a:ext>
          </a:extLst>
        </xdr:cNvPr>
        <xdr:cNvCxnSpPr/>
      </xdr:nvCxnSpPr>
      <xdr:spPr>
        <a:xfrm flipV="1">
          <a:off x="2133600" y="17059275"/>
          <a:ext cx="238125" cy="276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75</xdr:row>
      <xdr:rowOff>104774</xdr:rowOff>
    </xdr:from>
    <xdr:to>
      <xdr:col>14</xdr:col>
      <xdr:colOff>133350</xdr:colOff>
      <xdr:row>76</xdr:row>
      <xdr:rowOff>152399</xdr:rowOff>
    </xdr:to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EDE6F4E4-F31A-4C6A-BB5E-D79EB7429007}"/>
            </a:ext>
          </a:extLst>
        </xdr:cNvPr>
        <xdr:cNvSpPr>
          <a:spLocks/>
        </xdr:cNvSpPr>
      </xdr:nvSpPr>
      <xdr:spPr bwMode="auto">
        <a:xfrm rot="16200000">
          <a:off x="11010900" y="14154149"/>
          <a:ext cx="238125" cy="714375"/>
        </a:xfrm>
        <a:prstGeom prst="leftBrace">
          <a:avLst>
            <a:gd name="adj1" fmla="val 244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238123</xdr:colOff>
      <xdr:row>71</xdr:row>
      <xdr:rowOff>119060</xdr:rowOff>
    </xdr:from>
    <xdr:to>
      <xdr:col>23</xdr:col>
      <xdr:colOff>581025</xdr:colOff>
      <xdr:row>90</xdr:row>
      <xdr:rowOff>57149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DFEE3A0-291C-4340-A33A-C18D31313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228598</xdr:colOff>
      <xdr:row>71</xdr:row>
      <xdr:rowOff>33335</xdr:rowOff>
    </xdr:from>
    <xdr:to>
      <xdr:col>24</xdr:col>
      <xdr:colOff>228600</xdr:colOff>
      <xdr:row>89</xdr:row>
      <xdr:rowOff>28574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878AA3C-E814-4781-A064-8C8D839F7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104774</xdr:colOff>
      <xdr:row>89</xdr:row>
      <xdr:rowOff>128587</xdr:rowOff>
    </xdr:from>
    <xdr:to>
      <xdr:col>15</xdr:col>
      <xdr:colOff>114300</xdr:colOff>
      <xdr:row>106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2D8EDE-2C8B-4AD7-9647-70A9BE9F54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352426</xdr:colOff>
      <xdr:row>94</xdr:row>
      <xdr:rowOff>114299</xdr:rowOff>
    </xdr:from>
    <xdr:to>
      <xdr:col>13</xdr:col>
      <xdr:colOff>323851</xdr:colOff>
      <xdr:row>95</xdr:row>
      <xdr:rowOff>57149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CAAE460C-F5B7-491F-B1A3-1B0DDC55D32D}"/>
            </a:ext>
          </a:extLst>
        </xdr:cNvPr>
        <xdr:cNvSpPr/>
      </xdr:nvSpPr>
      <xdr:spPr>
        <a:xfrm rot="16200000">
          <a:off x="10710864" y="17797461"/>
          <a:ext cx="133350" cy="58102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26</xdr:col>
      <xdr:colOff>304799</xdr:colOff>
      <xdr:row>79</xdr:row>
      <xdr:rowOff>4761</xdr:rowOff>
    </xdr:from>
    <xdr:to>
      <xdr:col>34</xdr:col>
      <xdr:colOff>466724</xdr:colOff>
      <xdr:row>95</xdr:row>
      <xdr:rowOff>66674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F94F3E8-DD95-4D85-BB28-397F431579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409574</xdr:colOff>
      <xdr:row>34</xdr:row>
      <xdr:rowOff>90486</xdr:rowOff>
    </xdr:from>
    <xdr:to>
      <xdr:col>43</xdr:col>
      <xdr:colOff>209550</xdr:colOff>
      <xdr:row>52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15C09DB-5907-44B1-937C-AC77C20E00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352425</xdr:colOff>
      <xdr:row>69</xdr:row>
      <xdr:rowOff>176211</xdr:rowOff>
    </xdr:from>
    <xdr:to>
      <xdr:col>51</xdr:col>
      <xdr:colOff>495300</xdr:colOff>
      <xdr:row>86</xdr:row>
      <xdr:rowOff>28575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9854AA8-CDDC-4815-8B9A-492A344C41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44</xdr:col>
      <xdr:colOff>600075</xdr:colOff>
      <xdr:row>73</xdr:row>
      <xdr:rowOff>114300</xdr:rowOff>
    </xdr:from>
    <xdr:to>
      <xdr:col>45</xdr:col>
      <xdr:colOff>200025</xdr:colOff>
      <xdr:row>75</xdr:row>
      <xdr:rowOff>142875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D6D4A12C-6C2C-4A7B-9456-E489A4C9BD33}"/>
            </a:ext>
          </a:extLst>
        </xdr:cNvPr>
        <xdr:cNvCxnSpPr/>
      </xdr:nvCxnSpPr>
      <xdr:spPr>
        <a:xfrm>
          <a:off x="30241875" y="14020800"/>
          <a:ext cx="209550" cy="409575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590550</xdr:colOff>
      <xdr:row>77</xdr:row>
      <xdr:rowOff>28575</xdr:rowOff>
    </xdr:from>
    <xdr:to>
      <xdr:col>45</xdr:col>
      <xdr:colOff>180975</xdr:colOff>
      <xdr:row>80</xdr:row>
      <xdr:rowOff>133350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B6B95DA4-4A8F-43A8-AF7D-78B158B6C894}"/>
            </a:ext>
          </a:extLst>
        </xdr:cNvPr>
        <xdr:cNvCxnSpPr/>
      </xdr:nvCxnSpPr>
      <xdr:spPr>
        <a:xfrm flipV="1">
          <a:off x="30232350" y="14697075"/>
          <a:ext cx="200025" cy="676275"/>
        </a:xfrm>
        <a:prstGeom prst="line">
          <a:avLst/>
        </a:prstGeom>
        <a:ln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138111</xdr:colOff>
      <xdr:row>38</xdr:row>
      <xdr:rowOff>119061</xdr:rowOff>
    </xdr:from>
    <xdr:to>
      <xdr:col>68</xdr:col>
      <xdr:colOff>85725</xdr:colOff>
      <xdr:row>55</xdr:row>
      <xdr:rowOff>142874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407F8D8-1EBA-47A0-A862-ACDE626538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52</xdr:col>
      <xdr:colOff>157162</xdr:colOff>
      <xdr:row>69</xdr:row>
      <xdr:rowOff>176211</xdr:rowOff>
    </xdr:from>
    <xdr:to>
      <xdr:col>61</xdr:col>
      <xdr:colOff>571500</xdr:colOff>
      <xdr:row>86</xdr:row>
      <xdr:rowOff>104774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9EE7D7F-B0F8-456E-BB11-D73877039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60</xdr:col>
      <xdr:colOff>200025</xdr:colOff>
      <xdr:row>41</xdr:row>
      <xdr:rowOff>9526</xdr:rowOff>
    </xdr:from>
    <xdr:to>
      <xdr:col>67</xdr:col>
      <xdr:colOff>133350</xdr:colOff>
      <xdr:row>41</xdr:row>
      <xdr:rowOff>28575</xdr:rowOff>
    </xdr:to>
    <xdr:cxnSp macro="">
      <xdr:nvCxnSpPr>
        <xdr:cNvPr id="5124" name="Straight Connector 5123">
          <a:extLst>
            <a:ext uri="{FF2B5EF4-FFF2-40B4-BE49-F238E27FC236}">
              <a16:creationId xmlns:a16="http://schemas.microsoft.com/office/drawing/2014/main" id="{5130B67A-FB9B-45E9-A95A-D14DB7D67B1F}"/>
            </a:ext>
          </a:extLst>
        </xdr:cNvPr>
        <xdr:cNvCxnSpPr/>
      </xdr:nvCxnSpPr>
      <xdr:spPr>
        <a:xfrm flipV="1">
          <a:off x="40005000" y="7820026"/>
          <a:ext cx="4200525" cy="1904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0.70588</cdr:x>
      <cdr:y>0.33801</cdr:y>
    </cdr:from>
    <cdr:to>
      <cdr:x>0.87197</cdr:x>
      <cdr:y>0.41094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F9488CE-2B8F-4C43-9B4C-930AEDEB7ED6}"/>
            </a:ext>
          </a:extLst>
        </cdr:cNvPr>
        <cdr:cNvSpPr txBox="1"/>
      </cdr:nvSpPr>
      <cdr:spPr>
        <a:xfrm xmlns:a="http://schemas.openxmlformats.org/drawingml/2006/main">
          <a:off x="3886200" y="1147764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100"/>
            <a:t>Optimum operation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0.14542</cdr:x>
      <cdr:y>0.27443</cdr:y>
    </cdr:from>
    <cdr:to>
      <cdr:x>0.17594</cdr:x>
      <cdr:y>0.27711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37B486C3-03B9-4259-9BA8-0CA327B64442}"/>
            </a:ext>
          </a:extLst>
        </cdr:cNvPr>
        <cdr:cNvCxnSpPr/>
      </cdr:nvCxnSpPr>
      <cdr:spPr>
        <a:xfrm xmlns:a="http://schemas.openxmlformats.org/drawingml/2006/main" flipV="1">
          <a:off x="771527" y="976315"/>
          <a:ext cx="161925" cy="9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0.16319</cdr:x>
      <cdr:y>0.28512</cdr:y>
    </cdr:from>
    <cdr:to>
      <cdr:x>0.20139</cdr:x>
      <cdr:y>0.28512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02B4771-1BCC-4686-BAA0-A30DDEE97DA8}"/>
            </a:ext>
          </a:extLst>
        </cdr:cNvPr>
        <cdr:cNvCxnSpPr/>
      </cdr:nvCxnSpPr>
      <cdr:spPr>
        <a:xfrm xmlns:a="http://schemas.openxmlformats.org/drawingml/2006/main">
          <a:off x="895352" y="976315"/>
          <a:ext cx="20955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putacza-my.sharepoint.com/Users/user/OneDrive%20-%20Cape%20Peninsula%20University%20of%20Technology/Meng%20final/PSW%20Data%20Shee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 plant"/>
      <sheetName val="Pre-treatment"/>
      <sheetName val="EGSB"/>
      <sheetName val="SGBR"/>
      <sheetName val="SND for the SGBR"/>
      <sheetName val="Membrane Tank for the EGSB"/>
      <sheetName val="Membrane Tank for the SGBR"/>
      <sheetName val="MBR for the EGSB"/>
      <sheetName val="MBR for the SGBR"/>
    </sheetNames>
    <sheetDataSet>
      <sheetData sheetId="0"/>
      <sheetData sheetId="1">
        <row r="25"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1667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V25">
            <v>1450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  <cell r="AF25">
            <v>881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1374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1174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workbookViewId="0">
      <selection activeCell="N9" sqref="N9"/>
    </sheetView>
  </sheetViews>
  <sheetFormatPr defaultRowHeight="15" x14ac:dyDescent="0.25"/>
  <cols>
    <col min="1" max="1" width="28.5703125" customWidth="1"/>
    <col min="2" max="2" width="16.85546875" customWidth="1"/>
    <col min="3" max="3" width="15.85546875" bestFit="1" customWidth="1"/>
    <col min="4" max="5" width="11.140625" bestFit="1" customWidth="1"/>
    <col min="6" max="6" width="10.85546875" customWidth="1"/>
    <col min="7" max="7" width="28.42578125" bestFit="1" customWidth="1"/>
    <col min="8" max="8" width="27" bestFit="1" customWidth="1"/>
    <col min="10" max="10" width="12.8554687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5" t="s">
        <v>7</v>
      </c>
      <c r="J1" s="53" t="s">
        <v>92</v>
      </c>
      <c r="K1" t="s">
        <v>107</v>
      </c>
      <c r="L1" t="s">
        <v>117</v>
      </c>
      <c r="M1" t="s">
        <v>57</v>
      </c>
      <c r="N1" t="s">
        <v>55</v>
      </c>
      <c r="O1" t="s">
        <v>122</v>
      </c>
      <c r="P1" t="s">
        <v>121</v>
      </c>
      <c r="Q1" t="s">
        <v>123</v>
      </c>
      <c r="R1" t="s">
        <v>131</v>
      </c>
      <c r="S1" t="s">
        <v>57</v>
      </c>
    </row>
    <row r="2" spans="1:20" s="2" customFormat="1" x14ac:dyDescent="0.25">
      <c r="A2" s="2" t="s">
        <v>8</v>
      </c>
      <c r="B2" s="26">
        <v>43860.54583333333</v>
      </c>
      <c r="C2" s="2">
        <v>488</v>
      </c>
      <c r="D2" s="2" t="s">
        <v>9</v>
      </c>
      <c r="E2" s="2">
        <v>2447</v>
      </c>
      <c r="F2" s="2">
        <v>24</v>
      </c>
      <c r="G2" s="2">
        <v>280</v>
      </c>
      <c r="H2" s="2">
        <v>883</v>
      </c>
      <c r="J2" s="58"/>
    </row>
    <row r="3" spans="1:20" x14ac:dyDescent="0.25">
      <c r="A3" s="35" t="s">
        <v>11</v>
      </c>
      <c r="B3" s="36">
        <v>43847.5</v>
      </c>
      <c r="C3" s="37">
        <v>971</v>
      </c>
      <c r="D3" s="37" t="s">
        <v>9</v>
      </c>
      <c r="E3" s="37">
        <v>1031</v>
      </c>
      <c r="F3" s="37">
        <v>9</v>
      </c>
      <c r="G3" s="37">
        <v>56</v>
      </c>
      <c r="H3" s="38">
        <v>1006</v>
      </c>
      <c r="I3" s="43"/>
      <c r="J3" s="58" t="s">
        <v>85</v>
      </c>
      <c r="K3">
        <f>(D51-E3)/D51*100</f>
        <v>79.24822623660242</v>
      </c>
      <c r="L3">
        <f>F52</f>
        <v>0</v>
      </c>
      <c r="N3">
        <f>(G4-G3)/G4*100</f>
        <v>92.222222222222229</v>
      </c>
      <c r="S3" s="74" t="s">
        <v>138</v>
      </c>
      <c r="T3" s="74" t="s">
        <v>139</v>
      </c>
    </row>
    <row r="4" spans="1:20" s="27" customFormat="1" x14ac:dyDescent="0.25">
      <c r="A4" s="39" t="s">
        <v>12</v>
      </c>
      <c r="B4" s="40">
        <v>43847.5</v>
      </c>
      <c r="C4" s="41">
        <v>832</v>
      </c>
      <c r="D4" s="41" t="s">
        <v>9</v>
      </c>
      <c r="E4" s="41">
        <v>1667</v>
      </c>
      <c r="F4" s="41">
        <v>16</v>
      </c>
      <c r="G4" s="41">
        <v>720</v>
      </c>
      <c r="H4" s="42">
        <v>1106</v>
      </c>
      <c r="J4" s="58" t="s">
        <v>85</v>
      </c>
      <c r="K4" s="27">
        <f>(D51-E4)/D51*100</f>
        <v>66.446938056659789</v>
      </c>
      <c r="L4" s="27">
        <f>(D53-F4)/D53*100</f>
        <v>96.631578947368425</v>
      </c>
      <c r="S4" s="27">
        <v>1006</v>
      </c>
      <c r="T4" s="27">
        <v>1106</v>
      </c>
    </row>
    <row r="5" spans="1:20" x14ac:dyDescent="0.25">
      <c r="A5" s="35" t="s">
        <v>11</v>
      </c>
      <c r="B5" s="36">
        <v>43854.5</v>
      </c>
      <c r="C5" s="37">
        <v>940</v>
      </c>
      <c r="D5" s="37" t="s">
        <v>9</v>
      </c>
      <c r="E5" s="37">
        <v>450</v>
      </c>
      <c r="F5" s="37">
        <v>26</v>
      </c>
      <c r="G5" s="37">
        <v>58</v>
      </c>
      <c r="H5" s="38">
        <v>884</v>
      </c>
      <c r="J5" s="58" t="s">
        <v>86</v>
      </c>
      <c r="K5" s="27">
        <f>(D51-E5)/D51*100</f>
        <v>90.942484778342475</v>
      </c>
      <c r="N5">
        <f>(720-G5)/720*100</f>
        <v>91.944444444444443</v>
      </c>
    </row>
    <row r="6" spans="1:20" s="27" customFormat="1" x14ac:dyDescent="0.25">
      <c r="A6" s="39" t="s">
        <v>12</v>
      </c>
      <c r="B6" s="40">
        <v>43854.5</v>
      </c>
      <c r="C6" s="41">
        <v>882</v>
      </c>
      <c r="D6" s="41" t="s">
        <v>9</v>
      </c>
      <c r="E6" s="41">
        <v>1450</v>
      </c>
      <c r="F6" s="41">
        <v>27</v>
      </c>
      <c r="G6" s="41">
        <v>80</v>
      </c>
      <c r="H6" s="42">
        <v>1078</v>
      </c>
      <c r="J6" s="58" t="s">
        <v>86</v>
      </c>
      <c r="K6" s="27">
        <f>(D51-E6)/D51*100</f>
        <v>70.814673174659077</v>
      </c>
      <c r="L6" s="27">
        <f>(D53-F6)/D53*100</f>
        <v>94.315789473684205</v>
      </c>
      <c r="S6" s="27">
        <v>1078</v>
      </c>
      <c r="T6">
        <v>884</v>
      </c>
    </row>
    <row r="7" spans="1:20" x14ac:dyDescent="0.25">
      <c r="A7" s="35" t="s">
        <v>11</v>
      </c>
      <c r="B7" s="36">
        <v>43861.5</v>
      </c>
      <c r="C7" s="37">
        <v>940</v>
      </c>
      <c r="D7" s="37" t="s">
        <v>9</v>
      </c>
      <c r="E7" s="37">
        <v>358</v>
      </c>
      <c r="F7" s="37">
        <v>8</v>
      </c>
      <c r="G7" s="37">
        <v>42</v>
      </c>
      <c r="H7" s="38">
        <v>834</v>
      </c>
      <c r="J7" s="58" t="s">
        <v>87</v>
      </c>
      <c r="K7" s="27">
        <f>(D51-E7)/D51*100</f>
        <v>92.794243445881335</v>
      </c>
      <c r="N7">
        <f>(680-G7)/680*100</f>
        <v>93.82352941176471</v>
      </c>
    </row>
    <row r="8" spans="1:20" s="27" customFormat="1" x14ac:dyDescent="0.25">
      <c r="A8" s="39" t="s">
        <v>12</v>
      </c>
      <c r="B8" s="40">
        <v>43861.5</v>
      </c>
      <c r="C8" s="41">
        <v>869</v>
      </c>
      <c r="D8" s="41" t="s">
        <v>9</v>
      </c>
      <c r="E8" s="41">
        <v>881</v>
      </c>
      <c r="F8" s="41">
        <v>27</v>
      </c>
      <c r="G8" s="41">
        <v>184</v>
      </c>
      <c r="H8" s="42">
        <v>916</v>
      </c>
      <c r="J8" s="58" t="s">
        <v>87</v>
      </c>
      <c r="K8" s="27">
        <f>(D51-E8)/D51*100</f>
        <v>82.267397977154928</v>
      </c>
      <c r="L8" s="27">
        <f>(D53-F8)/D53*100</f>
        <v>94.315789473684205</v>
      </c>
      <c r="S8" s="27">
        <v>916</v>
      </c>
      <c r="T8">
        <v>834</v>
      </c>
    </row>
    <row r="9" spans="1:20" x14ac:dyDescent="0.25">
      <c r="A9" s="35" t="s">
        <v>11</v>
      </c>
      <c r="B9" s="36">
        <v>43862.5</v>
      </c>
      <c r="C9" s="37">
        <v>812</v>
      </c>
      <c r="D9" s="37" t="s">
        <v>9</v>
      </c>
      <c r="E9" s="37">
        <v>1374</v>
      </c>
      <c r="F9" s="41">
        <v>11</v>
      </c>
      <c r="G9" s="37">
        <v>13</v>
      </c>
      <c r="H9" s="38">
        <v>870</v>
      </c>
      <c r="J9" s="58" t="s">
        <v>88</v>
      </c>
      <c r="K9" s="27">
        <f>(D51-E9)/D51*100</f>
        <v>72.344386856539018</v>
      </c>
      <c r="N9">
        <f>(680-G9)/680*100</f>
        <v>98.088235294117638</v>
      </c>
    </row>
    <row r="10" spans="1:20" s="27" customFormat="1" x14ac:dyDescent="0.25">
      <c r="A10" s="39" t="s">
        <v>12</v>
      </c>
      <c r="B10" s="40">
        <v>43862.5</v>
      </c>
      <c r="C10" s="41">
        <v>496</v>
      </c>
      <c r="D10" s="41"/>
      <c r="E10" s="41">
        <v>1754</v>
      </c>
      <c r="F10" s="41">
        <v>157</v>
      </c>
      <c r="G10" s="41">
        <v>680</v>
      </c>
      <c r="H10" s="42">
        <v>950</v>
      </c>
      <c r="J10" s="58" t="s">
        <v>88</v>
      </c>
      <c r="K10" s="27">
        <f>(D51-E10)/D51*100</f>
        <v>64.695818447139331</v>
      </c>
      <c r="L10" s="27">
        <f>(F21-F10)/F21*100</f>
        <v>89.377537212449255</v>
      </c>
      <c r="S10" s="27">
        <v>950</v>
      </c>
      <c r="T10">
        <v>870</v>
      </c>
    </row>
    <row r="11" spans="1:20" s="27" customFormat="1" x14ac:dyDescent="0.25">
      <c r="A11" s="28" t="s">
        <v>12</v>
      </c>
      <c r="B11" s="29">
        <v>43861.5</v>
      </c>
      <c r="C11" s="30">
        <v>462</v>
      </c>
      <c r="D11" s="30" t="s">
        <v>9</v>
      </c>
      <c r="E11" s="30">
        <v>3613</v>
      </c>
      <c r="F11" s="30">
        <v>33</v>
      </c>
      <c r="G11" s="30">
        <v>348</v>
      </c>
      <c r="H11" s="31">
        <v>1226</v>
      </c>
      <c r="J11" s="69"/>
    </row>
    <row r="12" spans="1:20" x14ac:dyDescent="0.25">
      <c r="A12" s="32" t="s">
        <v>11</v>
      </c>
      <c r="B12" s="33">
        <v>43861.5</v>
      </c>
      <c r="C12" s="34">
        <v>490</v>
      </c>
      <c r="D12" s="34" t="s">
        <v>9</v>
      </c>
      <c r="E12" s="34">
        <v>1174</v>
      </c>
      <c r="F12" s="34">
        <v>25</v>
      </c>
      <c r="G12" s="34">
        <v>162</v>
      </c>
      <c r="H12" s="44">
        <v>1140</v>
      </c>
      <c r="J12" s="69"/>
      <c r="K12" s="27"/>
    </row>
    <row r="13" spans="1:20" s="27" customFormat="1" x14ac:dyDescent="0.25">
      <c r="A13" s="28" t="s">
        <v>12</v>
      </c>
      <c r="B13" s="29">
        <v>43866.5</v>
      </c>
      <c r="C13" s="30">
        <v>816</v>
      </c>
      <c r="D13" s="30" t="s">
        <v>9</v>
      </c>
      <c r="E13" s="30">
        <v>1843</v>
      </c>
      <c r="F13" s="30">
        <v>79</v>
      </c>
      <c r="G13" s="30">
        <v>292</v>
      </c>
      <c r="H13" s="31">
        <v>982</v>
      </c>
      <c r="J13" s="69"/>
    </row>
    <row r="14" spans="1:20" x14ac:dyDescent="0.25">
      <c r="A14" s="32" t="s">
        <v>11</v>
      </c>
      <c r="B14" s="33">
        <v>43866.5</v>
      </c>
      <c r="C14" s="34">
        <v>965</v>
      </c>
      <c r="D14" s="34" t="s">
        <v>9</v>
      </c>
      <c r="E14" s="34">
        <v>1176</v>
      </c>
      <c r="F14" s="34">
        <v>17</v>
      </c>
      <c r="G14" s="34">
        <v>148</v>
      </c>
      <c r="H14" s="44">
        <v>956</v>
      </c>
      <c r="J14" s="69"/>
      <c r="K14" s="27"/>
    </row>
    <row r="15" spans="1:20" s="27" customFormat="1" x14ac:dyDescent="0.25">
      <c r="A15" s="28" t="s">
        <v>12</v>
      </c>
      <c r="B15" s="29">
        <v>43872.504861111112</v>
      </c>
      <c r="C15" s="30">
        <v>264</v>
      </c>
      <c r="D15" s="30">
        <v>2000</v>
      </c>
      <c r="E15" s="30">
        <v>3525</v>
      </c>
      <c r="F15" s="30">
        <v>135</v>
      </c>
      <c r="G15" s="30">
        <v>940</v>
      </c>
      <c r="H15" s="31">
        <v>1268</v>
      </c>
      <c r="J15" s="58" t="s">
        <v>89</v>
      </c>
      <c r="K15" s="27">
        <f>(E21-E15)/E21*100</f>
        <v>64.213197969543145</v>
      </c>
      <c r="L15" s="27">
        <f>(D53-F15)/D53*100</f>
        <v>71.578947368421055</v>
      </c>
      <c r="S15" s="27">
        <v>1268</v>
      </c>
      <c r="T15">
        <v>1132</v>
      </c>
    </row>
    <row r="16" spans="1:20" x14ac:dyDescent="0.25">
      <c r="A16" s="32" t="s">
        <v>11</v>
      </c>
      <c r="B16" s="33">
        <v>43872.504861111112</v>
      </c>
      <c r="C16" s="34">
        <v>702</v>
      </c>
      <c r="D16" s="34">
        <v>875</v>
      </c>
      <c r="E16" s="34">
        <v>1739</v>
      </c>
      <c r="F16" s="34">
        <v>8</v>
      </c>
      <c r="G16" s="34">
        <v>88</v>
      </c>
      <c r="H16" s="44">
        <v>1132</v>
      </c>
      <c r="J16" s="58" t="s">
        <v>89</v>
      </c>
      <c r="K16" s="27">
        <f>(E21-E16)/E21*100</f>
        <v>82.345177664974628</v>
      </c>
      <c r="N16">
        <f>(940-G16)/940*100</f>
        <v>90.638297872340416</v>
      </c>
    </row>
    <row r="17" spans="1:20" s="27" customFormat="1" x14ac:dyDescent="0.25">
      <c r="A17" s="28" t="s">
        <v>12</v>
      </c>
      <c r="B17" s="29">
        <v>43879.504861111112</v>
      </c>
      <c r="C17" s="30">
        <v>479</v>
      </c>
      <c r="D17" s="30">
        <v>2875</v>
      </c>
      <c r="E17" s="30">
        <v>4946</v>
      </c>
      <c r="F17" s="30">
        <v>370</v>
      </c>
      <c r="G17" s="30">
        <v>1173</v>
      </c>
      <c r="H17" s="31">
        <v>1422</v>
      </c>
      <c r="J17" s="58" t="s">
        <v>90</v>
      </c>
      <c r="K17" s="27">
        <f>(E21-E17)/E21*100</f>
        <v>49.786802030456847</v>
      </c>
      <c r="L17" s="27">
        <f>(F21-F17)/F21*100</f>
        <v>74.966170500676583</v>
      </c>
      <c r="S17" s="27">
        <v>1422</v>
      </c>
      <c r="T17">
        <v>1098</v>
      </c>
    </row>
    <row r="18" spans="1:20" x14ac:dyDescent="0.25">
      <c r="A18" s="32" t="s">
        <v>11</v>
      </c>
      <c r="B18" s="33">
        <v>43879.504861111112</v>
      </c>
      <c r="C18" s="34">
        <v>789</v>
      </c>
      <c r="D18" s="34">
        <v>1875</v>
      </c>
      <c r="E18" s="34">
        <v>3080</v>
      </c>
      <c r="F18" s="34">
        <v>258</v>
      </c>
      <c r="G18" s="34">
        <v>700</v>
      </c>
      <c r="H18" s="44">
        <v>1098</v>
      </c>
      <c r="J18" s="58" t="s">
        <v>90</v>
      </c>
      <c r="K18" s="27">
        <f>(E21-E18)/E21*100</f>
        <v>68.73096446700508</v>
      </c>
      <c r="N18">
        <f>(D55-G18)/D55*100</f>
        <v>79.073243647234676</v>
      </c>
    </row>
    <row r="19" spans="1:20" s="27" customFormat="1" x14ac:dyDescent="0.25">
      <c r="A19" s="28" t="s">
        <v>12</v>
      </c>
      <c r="B19" s="29">
        <v>43886.504861111112</v>
      </c>
      <c r="C19" s="30">
        <v>773</v>
      </c>
      <c r="D19" s="30">
        <v>1600</v>
      </c>
      <c r="E19" s="30">
        <v>3096</v>
      </c>
      <c r="F19" s="30">
        <v>102</v>
      </c>
      <c r="G19" s="30">
        <v>460</v>
      </c>
      <c r="H19" s="31">
        <v>1340</v>
      </c>
      <c r="J19" s="58" t="s">
        <v>91</v>
      </c>
      <c r="K19" s="27">
        <f>(E21-E19)/E21*100</f>
        <v>68.568527918781726</v>
      </c>
      <c r="L19" s="27">
        <f>(F21-F19)/F21*100</f>
        <v>93.098782138024362</v>
      </c>
      <c r="S19" s="27">
        <v>1340</v>
      </c>
      <c r="T19">
        <v>1268</v>
      </c>
    </row>
    <row r="20" spans="1:20" x14ac:dyDescent="0.25">
      <c r="A20" s="32" t="s">
        <v>11</v>
      </c>
      <c r="B20" s="33">
        <v>43889.5</v>
      </c>
      <c r="C20" s="34">
        <v>488</v>
      </c>
      <c r="D20" s="34" t="s">
        <v>9</v>
      </c>
      <c r="E20" s="34">
        <v>2463</v>
      </c>
      <c r="F20" s="34">
        <v>84</v>
      </c>
      <c r="G20" s="34">
        <v>258</v>
      </c>
      <c r="H20" s="44">
        <v>1268</v>
      </c>
      <c r="J20" s="58" t="s">
        <v>91</v>
      </c>
      <c r="K20" s="27">
        <f>(E21-E20)/E21*100</f>
        <v>74.994923857868017</v>
      </c>
      <c r="N20">
        <f>(D55-G20)/D55*100</f>
        <v>92.286995515695068</v>
      </c>
    </row>
    <row r="21" spans="1:20" s="2" customFormat="1" x14ac:dyDescent="0.25">
      <c r="A21" s="2" t="s">
        <v>82</v>
      </c>
      <c r="B21" s="26">
        <v>43892.5</v>
      </c>
      <c r="C21" s="2">
        <v>479</v>
      </c>
      <c r="D21" s="2">
        <v>7000</v>
      </c>
      <c r="E21" s="2">
        <v>9850</v>
      </c>
      <c r="F21" s="2">
        <v>1478</v>
      </c>
      <c r="G21" s="2">
        <v>2650</v>
      </c>
      <c r="H21" s="2">
        <v>1528</v>
      </c>
      <c r="K21" s="27"/>
    </row>
    <row r="22" spans="1:20" x14ac:dyDescent="0.25">
      <c r="A22" s="35" t="s">
        <v>11</v>
      </c>
      <c r="B22" s="36">
        <v>43896.5</v>
      </c>
      <c r="C22" s="37">
        <v>666</v>
      </c>
      <c r="D22" s="37">
        <v>1125</v>
      </c>
      <c r="E22" s="37">
        <v>1510</v>
      </c>
      <c r="F22" s="37">
        <v>39</v>
      </c>
      <c r="G22" s="37">
        <v>196</v>
      </c>
      <c r="H22" s="38">
        <v>1096</v>
      </c>
      <c r="J22" s="58" t="s">
        <v>93</v>
      </c>
      <c r="K22" s="27">
        <f>(E21-E22)/E21*100</f>
        <v>84.670050761421322</v>
      </c>
      <c r="N22">
        <f>(G17-G22)/G17*100</f>
        <v>83.290707587382784</v>
      </c>
    </row>
    <row r="23" spans="1:20" s="27" customFormat="1" x14ac:dyDescent="0.25">
      <c r="A23" s="39" t="s">
        <v>12</v>
      </c>
      <c r="B23" s="40">
        <v>43899.506944444445</v>
      </c>
      <c r="C23" s="41">
        <v>801</v>
      </c>
      <c r="D23" s="41">
        <v>1250</v>
      </c>
      <c r="E23" s="41">
        <v>2385</v>
      </c>
      <c r="F23" s="41">
        <v>55</v>
      </c>
      <c r="G23" s="41">
        <v>480</v>
      </c>
      <c r="H23" s="42">
        <v>1212</v>
      </c>
      <c r="J23" s="58" t="s">
        <v>93</v>
      </c>
      <c r="K23" s="27">
        <f>(E21-E23)/E21*100</f>
        <v>75.786802030456855</v>
      </c>
      <c r="L23" s="27">
        <f>(D53-F23)/D53*100</f>
        <v>88.421052631578945</v>
      </c>
      <c r="S23" s="27">
        <v>1212</v>
      </c>
      <c r="T23">
        <v>1096</v>
      </c>
    </row>
    <row r="24" spans="1:20" s="2" customFormat="1" x14ac:dyDescent="0.25">
      <c r="A24" s="2" t="s">
        <v>8</v>
      </c>
      <c r="B24" s="26">
        <v>43906.5</v>
      </c>
      <c r="C24" s="2">
        <v>1019</v>
      </c>
      <c r="D24" s="2">
        <v>2500</v>
      </c>
      <c r="E24" s="2">
        <v>4092</v>
      </c>
      <c r="F24" s="2">
        <v>16</v>
      </c>
      <c r="G24" s="2">
        <v>125</v>
      </c>
      <c r="H24" s="2">
        <v>2690</v>
      </c>
      <c r="K24" s="27"/>
    </row>
    <row r="25" spans="1:20" s="27" customFormat="1" x14ac:dyDescent="0.25">
      <c r="A25" s="28" t="s">
        <v>12</v>
      </c>
      <c r="B25" s="29">
        <v>43906.5</v>
      </c>
      <c r="C25" s="30">
        <v>993</v>
      </c>
      <c r="D25" s="30">
        <v>1600</v>
      </c>
      <c r="E25" s="30">
        <v>2324</v>
      </c>
      <c r="F25" s="30">
        <v>79</v>
      </c>
      <c r="G25" s="30">
        <v>450</v>
      </c>
      <c r="H25" s="31">
        <v>1156</v>
      </c>
      <c r="J25" s="58" t="s">
        <v>94</v>
      </c>
      <c r="K25" s="27">
        <f>(E21-E25)/E21*100</f>
        <v>76.406091370558372</v>
      </c>
      <c r="L25" s="27">
        <f>(D53-F25)/D53*100</f>
        <v>83.368421052631575</v>
      </c>
      <c r="S25" s="27">
        <v>1156</v>
      </c>
      <c r="T25">
        <v>1132</v>
      </c>
    </row>
    <row r="26" spans="1:20" x14ac:dyDescent="0.25">
      <c r="A26" s="32" t="s">
        <v>11</v>
      </c>
      <c r="B26" s="33">
        <v>43910.333333333336</v>
      </c>
      <c r="C26" s="34">
        <v>824</v>
      </c>
      <c r="D26" s="34">
        <v>1500</v>
      </c>
      <c r="E26" s="34">
        <v>2137</v>
      </c>
      <c r="F26" s="34">
        <v>37</v>
      </c>
      <c r="G26" s="34">
        <v>360</v>
      </c>
      <c r="H26" s="44">
        <v>1132</v>
      </c>
      <c r="J26" s="58" t="s">
        <v>94</v>
      </c>
      <c r="K26" s="27">
        <f>(E21-E26)/E21*100</f>
        <v>78.304568527918789</v>
      </c>
      <c r="N26">
        <f>(D55-G26)/D55*100</f>
        <v>89.237668161434982</v>
      </c>
    </row>
    <row r="27" spans="1:20" x14ac:dyDescent="0.25">
      <c r="A27" s="57" t="s">
        <v>8</v>
      </c>
      <c r="B27" s="26">
        <v>43916.5</v>
      </c>
      <c r="C27" s="57">
        <v>1005</v>
      </c>
      <c r="D27" s="57">
        <v>2500</v>
      </c>
      <c r="E27" s="57">
        <v>3484</v>
      </c>
      <c r="F27" s="57">
        <v>382</v>
      </c>
      <c r="G27" s="57">
        <v>1160</v>
      </c>
      <c r="H27" s="54">
        <v>1683</v>
      </c>
      <c r="K27" s="27"/>
    </row>
    <row r="28" spans="1:20" x14ac:dyDescent="0.25">
      <c r="A28" s="28" t="s">
        <v>12</v>
      </c>
      <c r="B28" s="29">
        <v>43921.5</v>
      </c>
      <c r="C28" s="30">
        <v>944</v>
      </c>
      <c r="D28" s="30">
        <v>1715</v>
      </c>
      <c r="E28" s="30">
        <v>2015</v>
      </c>
      <c r="F28" s="30">
        <v>210</v>
      </c>
      <c r="G28" s="30">
        <v>795</v>
      </c>
      <c r="H28" s="56">
        <v>1054</v>
      </c>
      <c r="J28" s="58" t="s">
        <v>95</v>
      </c>
      <c r="K28" s="27">
        <f>(E21-E28)/E21*100</f>
        <v>79.543147208121823</v>
      </c>
      <c r="L28">
        <f>(F21-F28)/F21*100</f>
        <v>85.791610284167803</v>
      </c>
      <c r="S28">
        <v>1054</v>
      </c>
      <c r="T28">
        <v>809</v>
      </c>
    </row>
    <row r="29" spans="1:20" x14ac:dyDescent="0.25">
      <c r="A29" s="35" t="s">
        <v>11</v>
      </c>
      <c r="B29" s="36">
        <v>43921.5</v>
      </c>
      <c r="C29" s="37">
        <v>911</v>
      </c>
      <c r="D29" s="37">
        <v>1325</v>
      </c>
      <c r="E29" s="37">
        <v>1547</v>
      </c>
      <c r="F29" s="37">
        <v>118</v>
      </c>
      <c r="G29" s="37">
        <v>402</v>
      </c>
      <c r="H29" s="38">
        <v>809</v>
      </c>
      <c r="J29" s="58" t="s">
        <v>95</v>
      </c>
      <c r="K29" s="27">
        <f>(E21-E29)/E21*100</f>
        <v>84.294416243654823</v>
      </c>
      <c r="N29">
        <f>(D55-G29)/D55*100</f>
        <v>87.982062780269061</v>
      </c>
    </row>
    <row r="30" spans="1:20" x14ac:dyDescent="0.25">
      <c r="K30" s="27"/>
    </row>
    <row r="31" spans="1:20" x14ac:dyDescent="0.25">
      <c r="A31" s="59" t="s">
        <v>83</v>
      </c>
      <c r="B31" s="68">
        <v>43927.5</v>
      </c>
      <c r="C31" s="62">
        <v>678</v>
      </c>
      <c r="D31" s="63">
        <v>1274</v>
      </c>
      <c r="E31" s="62">
        <v>3080</v>
      </c>
      <c r="F31" s="62">
        <v>196</v>
      </c>
      <c r="G31" s="62">
        <v>198</v>
      </c>
      <c r="H31" s="61">
        <v>730</v>
      </c>
      <c r="J31" t="s">
        <v>99</v>
      </c>
      <c r="K31" s="27">
        <f>(E21-E31)/E21*100</f>
        <v>68.73096446700508</v>
      </c>
      <c r="L31">
        <f>(F21-F31)/F21*100</f>
        <v>86.73883626522327</v>
      </c>
      <c r="S31">
        <v>730</v>
      </c>
      <c r="T31">
        <v>698</v>
      </c>
    </row>
    <row r="32" spans="1:20" x14ac:dyDescent="0.25">
      <c r="A32" s="32" t="s">
        <v>11</v>
      </c>
      <c r="B32" s="33">
        <v>43927.504861111112</v>
      </c>
      <c r="C32" s="34">
        <v>1006</v>
      </c>
      <c r="D32" s="34">
        <v>1075</v>
      </c>
      <c r="E32" s="34">
        <v>1638</v>
      </c>
      <c r="F32" s="34">
        <v>58</v>
      </c>
      <c r="G32" s="34">
        <v>56</v>
      </c>
      <c r="H32" s="44">
        <v>698</v>
      </c>
      <c r="J32" t="s">
        <v>99</v>
      </c>
      <c r="K32" s="27">
        <f>(E21-E32)/E21*100</f>
        <v>83.370558375634516</v>
      </c>
      <c r="N32">
        <f>(G31-G32)/G31*100</f>
        <v>71.717171717171709</v>
      </c>
    </row>
    <row r="33" spans="1:20" x14ac:dyDescent="0.25">
      <c r="K33" s="27"/>
    </row>
    <row r="34" spans="1:20" x14ac:dyDescent="0.25">
      <c r="A34" s="59" t="s">
        <v>97</v>
      </c>
      <c r="B34" s="60">
        <v>43936.504861111112</v>
      </c>
      <c r="C34" s="30">
        <v>462</v>
      </c>
      <c r="D34" s="30" t="s">
        <v>9</v>
      </c>
      <c r="E34" s="30">
        <v>3613</v>
      </c>
      <c r="F34" s="30">
        <v>33</v>
      </c>
      <c r="G34" s="30">
        <v>348</v>
      </c>
      <c r="H34" s="31">
        <v>1226</v>
      </c>
      <c r="J34" t="s">
        <v>100</v>
      </c>
      <c r="K34" s="27">
        <f>(E21-E34)/E21*100</f>
        <v>63.319796954314725</v>
      </c>
      <c r="L34">
        <f>(D53-F34)/D53*100</f>
        <v>93.05263157894737</v>
      </c>
      <c r="S34">
        <v>1226</v>
      </c>
      <c r="T34">
        <v>1140</v>
      </c>
    </row>
    <row r="35" spans="1:20" x14ac:dyDescent="0.25">
      <c r="A35" s="32" t="s">
        <v>11</v>
      </c>
      <c r="B35" s="33">
        <v>43936.504861111112</v>
      </c>
      <c r="C35" s="34">
        <v>490</v>
      </c>
      <c r="D35" s="34" t="s">
        <v>9</v>
      </c>
      <c r="E35" s="34">
        <v>1174</v>
      </c>
      <c r="F35" s="34">
        <v>25</v>
      </c>
      <c r="G35" s="34">
        <v>162</v>
      </c>
      <c r="H35" s="44">
        <v>1140</v>
      </c>
      <c r="J35" s="58" t="s">
        <v>100</v>
      </c>
      <c r="K35" s="27">
        <f>(E21-E35)/E21*100</f>
        <v>88.081218274111677</v>
      </c>
      <c r="N35">
        <f>(D55-G35)/D55*100</f>
        <v>95.156950672645735</v>
      </c>
    </row>
    <row r="36" spans="1:20" x14ac:dyDescent="0.25">
      <c r="A36" s="59" t="s">
        <v>96</v>
      </c>
      <c r="B36" s="60">
        <v>43944.504861111112</v>
      </c>
      <c r="C36" s="30">
        <v>816</v>
      </c>
      <c r="D36" s="30" t="s">
        <v>9</v>
      </c>
      <c r="E36" s="30">
        <v>1843</v>
      </c>
      <c r="F36" s="30">
        <v>79</v>
      </c>
      <c r="G36" s="30">
        <v>292</v>
      </c>
      <c r="H36" s="31">
        <v>982</v>
      </c>
      <c r="J36" s="58" t="s">
        <v>101</v>
      </c>
      <c r="K36" s="27">
        <f>(E21-E36)/E21*100</f>
        <v>81.289340101522839</v>
      </c>
      <c r="L36">
        <f>(D53-F36)/D53*100</f>
        <v>83.368421052631575</v>
      </c>
      <c r="S36">
        <v>982</v>
      </c>
      <c r="T36">
        <v>511</v>
      </c>
    </row>
    <row r="37" spans="1:20" x14ac:dyDescent="0.25">
      <c r="A37" s="32" t="s">
        <v>11</v>
      </c>
      <c r="B37" s="33">
        <v>43944.504861111112</v>
      </c>
      <c r="C37" s="65">
        <v>939</v>
      </c>
      <c r="D37" s="65"/>
      <c r="E37" s="65">
        <v>703</v>
      </c>
      <c r="F37" s="65">
        <v>70</v>
      </c>
      <c r="G37" s="65">
        <v>200</v>
      </c>
      <c r="H37" s="66">
        <v>511</v>
      </c>
      <c r="J37" s="58" t="s">
        <v>101</v>
      </c>
      <c r="K37" s="27">
        <f>(E21-E37)/E21*100</f>
        <v>92.862944162436548</v>
      </c>
      <c r="N37">
        <f>(D55-G37)/D55*100</f>
        <v>94.020926756352765</v>
      </c>
    </row>
    <row r="38" spans="1:20" x14ac:dyDescent="0.25">
      <c r="A38" s="59" t="s">
        <v>84</v>
      </c>
      <c r="B38" s="60">
        <v>43950.504861111112</v>
      </c>
      <c r="C38" s="62" t="s">
        <v>106</v>
      </c>
      <c r="D38" s="62" t="s">
        <v>106</v>
      </c>
      <c r="E38" s="62" t="s">
        <v>106</v>
      </c>
      <c r="F38" s="62" t="s">
        <v>106</v>
      </c>
      <c r="G38" s="62" t="s">
        <v>106</v>
      </c>
      <c r="H38" s="62" t="s">
        <v>106</v>
      </c>
      <c r="J38" s="58" t="s">
        <v>102</v>
      </c>
      <c r="K38" s="27"/>
    </row>
    <row r="39" spans="1:20" x14ac:dyDescent="0.25">
      <c r="A39" s="71" t="s">
        <v>11</v>
      </c>
      <c r="B39" s="72">
        <v>43950.504861111112</v>
      </c>
      <c r="D39" s="70"/>
      <c r="H39" s="73"/>
      <c r="J39" s="58" t="s">
        <v>102</v>
      </c>
      <c r="K39" s="27"/>
    </row>
    <row r="40" spans="1:20" x14ac:dyDescent="0.25">
      <c r="A40" s="59" t="s">
        <v>84</v>
      </c>
      <c r="B40" s="60">
        <v>43955.504861111112</v>
      </c>
      <c r="C40" s="62">
        <v>930</v>
      </c>
      <c r="D40" s="63"/>
      <c r="E40" s="62">
        <v>1228</v>
      </c>
      <c r="F40" s="62">
        <v>90</v>
      </c>
      <c r="G40" s="62">
        <v>384</v>
      </c>
      <c r="H40" s="64">
        <v>956</v>
      </c>
      <c r="J40" s="58" t="s">
        <v>98</v>
      </c>
      <c r="K40" s="27">
        <f>(E21-E40)/E21*100</f>
        <v>87.532994923857871</v>
      </c>
      <c r="L40">
        <f>(D53-F40)/D53*100</f>
        <v>81.05263157894737</v>
      </c>
      <c r="S40">
        <v>956</v>
      </c>
      <c r="T40">
        <v>858</v>
      </c>
    </row>
    <row r="41" spans="1:20" x14ac:dyDescent="0.25">
      <c r="A41" s="32" t="s">
        <v>11</v>
      </c>
      <c r="B41" s="33">
        <v>43955.504861111112</v>
      </c>
      <c r="C41" s="65">
        <v>965</v>
      </c>
      <c r="D41" s="65"/>
      <c r="E41" s="65">
        <v>1176</v>
      </c>
      <c r="F41" s="65">
        <v>17</v>
      </c>
      <c r="G41" s="65">
        <v>148</v>
      </c>
      <c r="H41" s="66">
        <v>858</v>
      </c>
      <c r="J41" s="58" t="s">
        <v>98</v>
      </c>
      <c r="K41" s="27">
        <f>(E21-E41)/E21*100</f>
        <v>88.060913705583758</v>
      </c>
      <c r="N41">
        <f>(D55-G41)/D55*100</f>
        <v>95.575485799701042</v>
      </c>
    </row>
    <row r="42" spans="1:20" x14ac:dyDescent="0.25">
      <c r="C42" s="67"/>
      <c r="D42" s="67"/>
      <c r="E42" s="67"/>
      <c r="F42" s="67"/>
      <c r="G42" s="67"/>
      <c r="H42" s="67"/>
      <c r="J42" s="58"/>
      <c r="K42" s="27"/>
    </row>
    <row r="43" spans="1:20" x14ac:dyDescent="0.25">
      <c r="A43" s="59" t="s">
        <v>84</v>
      </c>
      <c r="B43" s="60">
        <v>43964.504861111112</v>
      </c>
      <c r="C43" s="62">
        <v>816</v>
      </c>
      <c r="D43" s="63"/>
      <c r="E43" s="62">
        <v>1868</v>
      </c>
      <c r="F43" s="62">
        <v>196</v>
      </c>
      <c r="G43" s="62">
        <v>113</v>
      </c>
      <c r="H43" s="64"/>
      <c r="J43" s="58" t="s">
        <v>103</v>
      </c>
      <c r="K43" s="27">
        <f>(E21-E43)/E21*100</f>
        <v>81.035532994923855</v>
      </c>
      <c r="L43">
        <f>(F21-F43)/F21*100</f>
        <v>86.73883626522327</v>
      </c>
      <c r="S43">
        <v>1137</v>
      </c>
      <c r="T43">
        <v>956</v>
      </c>
    </row>
    <row r="44" spans="1:20" x14ac:dyDescent="0.25">
      <c r="A44" s="32" t="s">
        <v>11</v>
      </c>
      <c r="B44" s="33">
        <v>43964.504861111112</v>
      </c>
      <c r="C44" s="65">
        <v>974</v>
      </c>
      <c r="D44" s="65"/>
      <c r="E44" s="65">
        <v>995</v>
      </c>
      <c r="F44" s="65">
        <v>56</v>
      </c>
      <c r="G44" s="65">
        <v>100</v>
      </c>
      <c r="H44" s="66">
        <v>1137</v>
      </c>
      <c r="J44" s="58" t="s">
        <v>103</v>
      </c>
      <c r="K44" s="27">
        <f>(E21-E44)/E21*100</f>
        <v>89.898477157360404</v>
      </c>
      <c r="N44">
        <f>(D55-G44)/D55*100</f>
        <v>97.010463378176382</v>
      </c>
    </row>
    <row r="45" spans="1:20" x14ac:dyDescent="0.25">
      <c r="A45" s="59" t="s">
        <v>84</v>
      </c>
      <c r="B45" s="60">
        <v>43971.504861111112</v>
      </c>
      <c r="C45" s="62">
        <v>965</v>
      </c>
      <c r="D45" s="63"/>
      <c r="E45" s="62">
        <v>1785</v>
      </c>
      <c r="F45" s="62">
        <v>104</v>
      </c>
      <c r="G45" s="62">
        <v>198</v>
      </c>
      <c r="H45" s="64">
        <v>888</v>
      </c>
      <c r="J45" s="58" t="s">
        <v>104</v>
      </c>
      <c r="K45" s="27">
        <f>(E21-E45)/E21*100</f>
        <v>81.878172588832484</v>
      </c>
      <c r="L45">
        <f>(F21-F45)/F21*100</f>
        <v>92.963464140730721</v>
      </c>
    </row>
    <row r="46" spans="1:20" x14ac:dyDescent="0.25">
      <c r="A46" s="32" t="s">
        <v>11</v>
      </c>
      <c r="B46" s="33">
        <v>43971.504861111112</v>
      </c>
      <c r="C46" s="65">
        <v>1048</v>
      </c>
      <c r="D46" s="65"/>
      <c r="E46" s="65">
        <v>825</v>
      </c>
      <c r="F46" s="65">
        <v>52</v>
      </c>
      <c r="G46" s="65">
        <v>152</v>
      </c>
      <c r="H46" s="66">
        <v>633</v>
      </c>
      <c r="J46" s="58" t="s">
        <v>104</v>
      </c>
      <c r="K46" s="27">
        <f>(E21-E46)/E21*100</f>
        <v>91.6243654822335</v>
      </c>
      <c r="N46">
        <f>(D55-G46)/D55*100</f>
        <v>95.455904334828105</v>
      </c>
      <c r="S46">
        <v>888</v>
      </c>
      <c r="T46">
        <v>633</v>
      </c>
    </row>
    <row r="47" spans="1:20" x14ac:dyDescent="0.25">
      <c r="A47" s="59" t="s">
        <v>84</v>
      </c>
      <c r="B47" s="60">
        <v>43974.504861111112</v>
      </c>
      <c r="C47" s="62">
        <v>395</v>
      </c>
      <c r="D47" s="63"/>
      <c r="E47" s="62">
        <v>1471</v>
      </c>
      <c r="F47" s="62">
        <v>50</v>
      </c>
      <c r="G47" s="62">
        <v>192</v>
      </c>
      <c r="H47" s="64">
        <v>554</v>
      </c>
      <c r="J47" s="58" t="s">
        <v>105</v>
      </c>
      <c r="K47" s="27">
        <f>(E21-E47)/E21*100</f>
        <v>85.065989847715741</v>
      </c>
      <c r="L47">
        <f>(D53-F47)/D53*100</f>
        <v>89.473684210526315</v>
      </c>
    </row>
    <row r="48" spans="1:20" x14ac:dyDescent="0.25">
      <c r="A48" s="32" t="s">
        <v>11</v>
      </c>
      <c r="B48" s="33">
        <v>43974.504861111112</v>
      </c>
      <c r="C48" s="65">
        <v>854</v>
      </c>
      <c r="D48" s="65"/>
      <c r="E48" s="65">
        <v>709</v>
      </c>
      <c r="F48" s="65">
        <v>49</v>
      </c>
      <c r="G48" s="65">
        <v>112</v>
      </c>
      <c r="H48" s="66">
        <v>499</v>
      </c>
      <c r="J48" s="58" t="s">
        <v>105</v>
      </c>
      <c r="K48" s="27">
        <f>(E21-E48)/E21*100</f>
        <v>92.802030456852791</v>
      </c>
      <c r="N48">
        <f>(D55-G48)/D55*100</f>
        <v>96.651718983557544</v>
      </c>
      <c r="S48">
        <v>554</v>
      </c>
      <c r="T48">
        <v>499</v>
      </c>
    </row>
    <row r="49" spans="1:12" x14ac:dyDescent="0.25">
      <c r="J49" s="58"/>
    </row>
    <row r="51" spans="1:12" x14ac:dyDescent="0.25">
      <c r="A51" s="57" t="s">
        <v>109</v>
      </c>
      <c r="B51" s="57" t="s">
        <v>108</v>
      </c>
      <c r="C51" t="s">
        <v>110</v>
      </c>
      <c r="D51">
        <f>(E2+E21+E24+E27)/4</f>
        <v>4968.25</v>
      </c>
    </row>
    <row r="52" spans="1:12" x14ac:dyDescent="0.25">
      <c r="K52" t="s">
        <v>166</v>
      </c>
    </row>
    <row r="53" spans="1:12" x14ac:dyDescent="0.25">
      <c r="A53" s="25" t="s">
        <v>116</v>
      </c>
      <c r="B53" s="25" t="s">
        <v>115</v>
      </c>
      <c r="C53" t="s">
        <v>110</v>
      </c>
      <c r="D53">
        <f>(F27+F24+F21+F2)/4</f>
        <v>475</v>
      </c>
      <c r="K53" t="s">
        <v>150</v>
      </c>
      <c r="L53" t="s">
        <v>165</v>
      </c>
    </row>
    <row r="54" spans="1:12" x14ac:dyDescent="0.25">
      <c r="J54" t="s">
        <v>152</v>
      </c>
      <c r="K54">
        <v>4968.25</v>
      </c>
    </row>
    <row r="55" spans="1:12" x14ac:dyDescent="0.25">
      <c r="A55" s="83" t="s">
        <v>126</v>
      </c>
      <c r="B55" s="83" t="s">
        <v>125</v>
      </c>
      <c r="C55" t="s">
        <v>110</v>
      </c>
      <c r="D55">
        <f>G2+G21+G24+G27/4</f>
        <v>3345</v>
      </c>
      <c r="J55" t="s">
        <v>55</v>
      </c>
      <c r="K55">
        <f>(G2+G21+G24+G27)/4</f>
        <v>1053.75</v>
      </c>
    </row>
    <row r="56" spans="1:12" x14ac:dyDescent="0.25">
      <c r="J56" t="s">
        <v>164</v>
      </c>
      <c r="K56">
        <v>1478</v>
      </c>
      <c r="L56">
        <v>475</v>
      </c>
    </row>
    <row r="57" spans="1:12" x14ac:dyDescent="0.25">
      <c r="B57" t="s">
        <v>145</v>
      </c>
      <c r="C57" t="s">
        <v>110</v>
      </c>
      <c r="D57">
        <f>D27+D24+D21/3</f>
        <v>7333.3333333333339</v>
      </c>
    </row>
    <row r="60" spans="1:12" x14ac:dyDescent="0.25">
      <c r="E60" s="75" t="s">
        <v>147</v>
      </c>
      <c r="F60" s="74" t="s">
        <v>146</v>
      </c>
    </row>
    <row r="61" spans="1:12" x14ac:dyDescent="0.25">
      <c r="E61">
        <v>1</v>
      </c>
      <c r="F61">
        <f>(D57-D15)/D57*100</f>
        <v>72.727272727272734</v>
      </c>
    </row>
    <row r="63" spans="1:12" x14ac:dyDescent="0.25">
      <c r="E63">
        <v>2</v>
      </c>
      <c r="F63">
        <f>(D57-D17)/D57*100</f>
        <v>60.795454545454554</v>
      </c>
    </row>
    <row r="65" spans="5:6" x14ac:dyDescent="0.25">
      <c r="E65">
        <v>3</v>
      </c>
      <c r="F65">
        <f>(D57-D19)/D57*100</f>
        <v>78.181818181818187</v>
      </c>
    </row>
    <row r="67" spans="5:6" x14ac:dyDescent="0.25">
      <c r="E67">
        <v>4</v>
      </c>
      <c r="F67">
        <f>(D57-D23)/D57*100</f>
        <v>82.954545454545453</v>
      </c>
    </row>
    <row r="69" spans="5:6" x14ac:dyDescent="0.25">
      <c r="E69">
        <v>5</v>
      </c>
      <c r="F69">
        <f>(D57-D25)/D57*100</f>
        <v>78.181818181818187</v>
      </c>
    </row>
    <row r="71" spans="5:6" x14ac:dyDescent="0.25">
      <c r="E71">
        <v>6</v>
      </c>
      <c r="F71">
        <f>(D57-D28)/D57*100</f>
        <v>76.61363636363636</v>
      </c>
    </row>
    <row r="73" spans="5:6" x14ac:dyDescent="0.25">
      <c r="E73">
        <v>7</v>
      </c>
      <c r="F73">
        <f>(D57-D31)/D57*100</f>
        <v>82.627272727272725</v>
      </c>
    </row>
    <row r="86" spans="1:6" x14ac:dyDescent="0.25">
      <c r="A86" t="s">
        <v>77</v>
      </c>
      <c r="B86" s="1" t="s">
        <v>81</v>
      </c>
      <c r="C86" t="s">
        <v>80</v>
      </c>
    </row>
    <row r="87" spans="1:6" x14ac:dyDescent="0.25">
      <c r="B87">
        <v>0</v>
      </c>
      <c r="C87">
        <v>71</v>
      </c>
    </row>
    <row r="88" spans="1:6" x14ac:dyDescent="0.25">
      <c r="B88">
        <v>30</v>
      </c>
      <c r="C88">
        <v>71</v>
      </c>
    </row>
    <row r="89" spans="1:6" x14ac:dyDescent="0.25">
      <c r="C89" t="s">
        <v>77</v>
      </c>
    </row>
    <row r="90" spans="1:6" x14ac:dyDescent="0.25">
      <c r="C90" t="s">
        <v>79</v>
      </c>
      <c r="D90" t="s">
        <v>78</v>
      </c>
      <c r="F90" t="s">
        <v>79</v>
      </c>
    </row>
    <row r="91" spans="1:6" x14ac:dyDescent="0.25">
      <c r="C91">
        <v>71</v>
      </c>
      <c r="D91">
        <v>0</v>
      </c>
      <c r="F91">
        <v>71</v>
      </c>
    </row>
    <row r="92" spans="1:6" x14ac:dyDescent="0.25">
      <c r="C92">
        <v>0</v>
      </c>
      <c r="D92">
        <v>30</v>
      </c>
      <c r="F92">
        <v>0</v>
      </c>
    </row>
    <row r="93" spans="1:6" x14ac:dyDescent="0.25">
      <c r="C93">
        <v>0</v>
      </c>
      <c r="D93">
        <v>60</v>
      </c>
      <c r="F93">
        <v>0</v>
      </c>
    </row>
    <row r="94" spans="1:6" x14ac:dyDescent="0.25">
      <c r="C94">
        <v>0</v>
      </c>
      <c r="D94">
        <v>90</v>
      </c>
      <c r="F94">
        <v>0</v>
      </c>
    </row>
    <row r="95" spans="1:6" x14ac:dyDescent="0.25">
      <c r="C95">
        <v>0</v>
      </c>
      <c r="D95">
        <v>120</v>
      </c>
      <c r="F95">
        <v>0</v>
      </c>
    </row>
    <row r="96" spans="1:6" x14ac:dyDescent="0.25">
      <c r="C96">
        <v>0</v>
      </c>
      <c r="D96">
        <v>150</v>
      </c>
      <c r="F96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K4" sqref="K4"/>
    </sheetView>
  </sheetViews>
  <sheetFormatPr defaultRowHeight="15" x14ac:dyDescent="0.25"/>
  <cols>
    <col min="1" max="1" width="28.5703125" customWidth="1"/>
    <col min="2" max="2" width="16.85546875" customWidth="1"/>
    <col min="3" max="3" width="15.85546875" bestFit="1" customWidth="1"/>
    <col min="4" max="5" width="11.140625" bestFit="1" customWidth="1"/>
    <col min="6" max="6" width="10.85546875" customWidth="1"/>
    <col min="7" max="7" width="28.42578125" bestFit="1" customWidth="1"/>
    <col min="8" max="8" width="27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5" t="s">
        <v>7</v>
      </c>
      <c r="J1" t="s">
        <v>158</v>
      </c>
      <c r="K1" s="58" t="s">
        <v>159</v>
      </c>
    </row>
    <row r="2" spans="1:11" x14ac:dyDescent="0.25">
      <c r="A2" t="s">
        <v>8</v>
      </c>
      <c r="B2" s="1">
        <v>43860.54583333333</v>
      </c>
      <c r="C2">
        <v>488</v>
      </c>
      <c r="D2" t="s">
        <v>9</v>
      </c>
      <c r="E2">
        <v>2447</v>
      </c>
      <c r="F2">
        <v>24</v>
      </c>
      <c r="G2">
        <v>280</v>
      </c>
      <c r="H2" s="25">
        <v>883</v>
      </c>
    </row>
    <row r="3" spans="1:11" x14ac:dyDescent="0.25">
      <c r="A3" t="s">
        <v>10</v>
      </c>
      <c r="B3" s="1">
        <v>43847.5</v>
      </c>
      <c r="C3">
        <v>988</v>
      </c>
      <c r="D3" t="s">
        <v>9</v>
      </c>
      <c r="E3">
        <v>1223</v>
      </c>
      <c r="F3">
        <v>22</v>
      </c>
      <c r="G3">
        <v>476</v>
      </c>
      <c r="J3">
        <f>(J2+E6+E17+E20+E25+E29+E32+E37)/8</f>
        <v>1869.5</v>
      </c>
      <c r="K3">
        <f>(G3+G6+G12+G17+G20+G25+G29+G32)/8</f>
        <v>264.25</v>
      </c>
    </row>
    <row r="4" spans="1:11" x14ac:dyDescent="0.25">
      <c r="A4" t="s">
        <v>11</v>
      </c>
      <c r="B4" s="1">
        <v>43847.5</v>
      </c>
      <c r="C4">
        <v>971</v>
      </c>
      <c r="D4" t="s">
        <v>9</v>
      </c>
      <c r="E4">
        <v>1031</v>
      </c>
      <c r="F4">
        <v>9</v>
      </c>
      <c r="G4">
        <v>56</v>
      </c>
      <c r="H4" s="25">
        <v>1106</v>
      </c>
    </row>
    <row r="5" spans="1:11" x14ac:dyDescent="0.25">
      <c r="A5" t="s">
        <v>12</v>
      </c>
      <c r="B5" s="1">
        <v>43847.5</v>
      </c>
      <c r="C5">
        <v>832</v>
      </c>
      <c r="D5" t="s">
        <v>9</v>
      </c>
      <c r="E5">
        <v>1667</v>
      </c>
      <c r="F5">
        <v>16</v>
      </c>
      <c r="G5">
        <v>720</v>
      </c>
      <c r="H5">
        <v>1006</v>
      </c>
    </row>
    <row r="6" spans="1:11" x14ac:dyDescent="0.25">
      <c r="A6" t="s">
        <v>10</v>
      </c>
      <c r="B6" s="1">
        <v>43854.5</v>
      </c>
      <c r="C6">
        <v>965</v>
      </c>
      <c r="D6" t="s">
        <v>9</v>
      </c>
      <c r="E6">
        <v>809</v>
      </c>
      <c r="F6">
        <v>104</v>
      </c>
      <c r="G6">
        <v>176</v>
      </c>
    </row>
    <row r="7" spans="1:11" x14ac:dyDescent="0.25">
      <c r="A7" t="s">
        <v>11</v>
      </c>
      <c r="B7" s="1">
        <v>43854.5</v>
      </c>
      <c r="C7">
        <v>940</v>
      </c>
      <c r="D7" t="s">
        <v>9</v>
      </c>
      <c r="E7">
        <v>450</v>
      </c>
      <c r="F7">
        <v>27</v>
      </c>
      <c r="G7">
        <v>58</v>
      </c>
      <c r="H7" s="25">
        <v>884</v>
      </c>
    </row>
    <row r="8" spans="1:11" x14ac:dyDescent="0.25">
      <c r="A8" t="s">
        <v>12</v>
      </c>
      <c r="B8" s="1">
        <v>43854.5</v>
      </c>
      <c r="C8">
        <v>882</v>
      </c>
      <c r="D8" t="s">
        <v>9</v>
      </c>
      <c r="E8">
        <v>1450</v>
      </c>
      <c r="F8">
        <v>26</v>
      </c>
      <c r="G8">
        <v>80</v>
      </c>
      <c r="H8">
        <v>1078</v>
      </c>
    </row>
    <row r="9" spans="1:11" x14ac:dyDescent="0.25">
      <c r="A9" t="s">
        <v>10</v>
      </c>
      <c r="B9" s="1">
        <v>43861.5</v>
      </c>
      <c r="C9">
        <v>939</v>
      </c>
      <c r="D9" t="s">
        <v>9</v>
      </c>
      <c r="E9">
        <v>395</v>
      </c>
      <c r="F9">
        <v>4</v>
      </c>
      <c r="G9">
        <v>14</v>
      </c>
    </row>
    <row r="10" spans="1:11" x14ac:dyDescent="0.25">
      <c r="A10" t="s">
        <v>11</v>
      </c>
      <c r="B10" s="1">
        <v>43861.5</v>
      </c>
      <c r="C10">
        <v>940</v>
      </c>
      <c r="D10" t="s">
        <v>9</v>
      </c>
      <c r="E10">
        <v>358</v>
      </c>
      <c r="F10">
        <v>27</v>
      </c>
      <c r="G10">
        <v>42</v>
      </c>
      <c r="H10" s="25">
        <v>834</v>
      </c>
    </row>
    <row r="11" spans="1:11" x14ac:dyDescent="0.25">
      <c r="A11" t="s">
        <v>12</v>
      </c>
      <c r="B11" s="1">
        <v>43861.5</v>
      </c>
      <c r="C11">
        <v>869</v>
      </c>
      <c r="D11" t="s">
        <v>9</v>
      </c>
      <c r="E11">
        <v>881</v>
      </c>
      <c r="F11">
        <v>8</v>
      </c>
      <c r="G11">
        <v>184</v>
      </c>
      <c r="H11">
        <v>916</v>
      </c>
    </row>
    <row r="12" spans="1:11" x14ac:dyDescent="0.25">
      <c r="A12" t="s">
        <v>10</v>
      </c>
      <c r="B12" s="1">
        <v>43862.5</v>
      </c>
      <c r="C12">
        <v>749</v>
      </c>
      <c r="D12" t="s">
        <v>9</v>
      </c>
      <c r="E12">
        <v>961</v>
      </c>
      <c r="F12">
        <v>5</v>
      </c>
      <c r="G12">
        <v>100</v>
      </c>
    </row>
    <row r="13" spans="1:11" x14ac:dyDescent="0.25">
      <c r="A13" t="s">
        <v>11</v>
      </c>
      <c r="B13" s="1">
        <v>43862.5</v>
      </c>
      <c r="C13">
        <v>812</v>
      </c>
      <c r="D13" t="s">
        <v>9</v>
      </c>
      <c r="E13">
        <v>1754</v>
      </c>
      <c r="F13">
        <v>357</v>
      </c>
      <c r="G13">
        <v>680</v>
      </c>
      <c r="H13" s="25">
        <v>870</v>
      </c>
    </row>
    <row r="14" spans="1:11" x14ac:dyDescent="0.25">
      <c r="A14" t="s">
        <v>12</v>
      </c>
      <c r="B14" s="1">
        <v>43862.5</v>
      </c>
      <c r="C14">
        <v>496</v>
      </c>
      <c r="D14" t="s">
        <v>9</v>
      </c>
      <c r="E14">
        <v>1374</v>
      </c>
      <c r="F14">
        <v>11</v>
      </c>
      <c r="G14">
        <v>13</v>
      </c>
      <c r="H14">
        <v>950</v>
      </c>
    </row>
    <row r="15" spans="1:11" x14ac:dyDescent="0.25">
      <c r="A15" t="s">
        <v>12</v>
      </c>
      <c r="B15" s="1">
        <v>43861.5</v>
      </c>
      <c r="C15">
        <v>462</v>
      </c>
      <c r="D15" t="s">
        <v>9</v>
      </c>
      <c r="E15">
        <v>1174</v>
      </c>
      <c r="F15">
        <v>25</v>
      </c>
      <c r="G15">
        <v>348</v>
      </c>
      <c r="H15">
        <v>1226</v>
      </c>
    </row>
    <row r="16" spans="1:11" x14ac:dyDescent="0.25">
      <c r="A16" t="s">
        <v>11</v>
      </c>
      <c r="B16" s="1">
        <v>43861.5</v>
      </c>
      <c r="C16">
        <v>490</v>
      </c>
      <c r="D16" t="s">
        <v>9</v>
      </c>
      <c r="E16">
        <v>3613</v>
      </c>
      <c r="F16">
        <v>33</v>
      </c>
      <c r="G16">
        <v>162</v>
      </c>
      <c r="H16" s="25">
        <v>1140</v>
      </c>
    </row>
    <row r="17" spans="1:8" x14ac:dyDescent="0.25">
      <c r="A17" t="s">
        <v>10</v>
      </c>
      <c r="B17" s="1">
        <v>43861.5</v>
      </c>
      <c r="C17">
        <v>492</v>
      </c>
      <c r="D17" t="s">
        <v>9</v>
      </c>
      <c r="E17">
        <v>3452</v>
      </c>
      <c r="F17">
        <v>5</v>
      </c>
      <c r="G17">
        <v>150</v>
      </c>
    </row>
    <row r="18" spans="1:8" x14ac:dyDescent="0.25">
      <c r="A18" t="s">
        <v>12</v>
      </c>
      <c r="B18" s="1">
        <v>43866.5</v>
      </c>
      <c r="C18">
        <v>816</v>
      </c>
      <c r="D18" t="s">
        <v>9</v>
      </c>
      <c r="E18">
        <v>1176</v>
      </c>
      <c r="F18">
        <v>17</v>
      </c>
      <c r="G18">
        <v>292</v>
      </c>
      <c r="H18">
        <v>982</v>
      </c>
    </row>
    <row r="19" spans="1:8" x14ac:dyDescent="0.25">
      <c r="A19" t="s">
        <v>11</v>
      </c>
      <c r="B19" s="1">
        <v>43866.5</v>
      </c>
      <c r="C19">
        <v>965</v>
      </c>
      <c r="D19" t="s">
        <v>9</v>
      </c>
      <c r="E19">
        <v>1843</v>
      </c>
      <c r="F19">
        <v>79</v>
      </c>
      <c r="G19">
        <v>148</v>
      </c>
      <c r="H19" s="25">
        <v>956</v>
      </c>
    </row>
    <row r="20" spans="1:8" x14ac:dyDescent="0.25">
      <c r="A20" t="s">
        <v>10</v>
      </c>
      <c r="B20" s="1">
        <v>43866.5</v>
      </c>
      <c r="C20">
        <v>926</v>
      </c>
      <c r="D20" t="s">
        <v>9</v>
      </c>
      <c r="E20">
        <v>1988</v>
      </c>
      <c r="F20">
        <v>31</v>
      </c>
      <c r="G20">
        <v>126</v>
      </c>
    </row>
    <row r="21" spans="1:8" x14ac:dyDescent="0.25">
      <c r="A21" t="s">
        <v>12</v>
      </c>
      <c r="B21" s="1">
        <v>43872.504861111112</v>
      </c>
      <c r="C21">
        <v>264</v>
      </c>
      <c r="D21">
        <v>2000</v>
      </c>
      <c r="E21">
        <v>3525</v>
      </c>
      <c r="F21">
        <v>135</v>
      </c>
      <c r="G21">
        <v>940</v>
      </c>
      <c r="H21">
        <v>1268</v>
      </c>
    </row>
    <row r="22" spans="1:8" x14ac:dyDescent="0.25">
      <c r="A22" t="s">
        <v>10</v>
      </c>
      <c r="B22" s="1">
        <v>43872.504861111112</v>
      </c>
      <c r="C22">
        <v>770</v>
      </c>
      <c r="D22">
        <v>625</v>
      </c>
      <c r="E22">
        <v>1556</v>
      </c>
      <c r="F22">
        <v>5</v>
      </c>
      <c r="G22">
        <v>78</v>
      </c>
    </row>
    <row r="23" spans="1:8" x14ac:dyDescent="0.25">
      <c r="A23" t="s">
        <v>11</v>
      </c>
      <c r="B23" s="1">
        <v>43872.504861111112</v>
      </c>
      <c r="C23">
        <v>702</v>
      </c>
      <c r="D23">
        <v>875</v>
      </c>
      <c r="E23">
        <v>1739</v>
      </c>
      <c r="F23">
        <v>8</v>
      </c>
      <c r="G23">
        <v>88</v>
      </c>
      <c r="H23" s="25">
        <v>1132</v>
      </c>
    </row>
    <row r="24" spans="1:8" x14ac:dyDescent="0.25">
      <c r="A24" t="s">
        <v>12</v>
      </c>
      <c r="B24" s="1">
        <v>43879.504861111112</v>
      </c>
      <c r="C24">
        <v>479</v>
      </c>
      <c r="D24">
        <v>2875</v>
      </c>
      <c r="E24">
        <v>4946</v>
      </c>
      <c r="F24">
        <v>370</v>
      </c>
      <c r="G24">
        <v>1173</v>
      </c>
      <c r="H24">
        <v>1422</v>
      </c>
    </row>
    <row r="25" spans="1:8" x14ac:dyDescent="0.25">
      <c r="A25" t="s">
        <v>10</v>
      </c>
      <c r="B25" s="1">
        <v>43879.504861111112</v>
      </c>
      <c r="C25">
        <v>815</v>
      </c>
      <c r="D25">
        <v>1500</v>
      </c>
      <c r="E25">
        <v>2602</v>
      </c>
      <c r="F25">
        <v>129</v>
      </c>
      <c r="G25">
        <v>450</v>
      </c>
    </row>
    <row r="26" spans="1:8" x14ac:dyDescent="0.25">
      <c r="A26" t="s">
        <v>11</v>
      </c>
      <c r="B26" s="1">
        <v>43879.504861111112</v>
      </c>
      <c r="C26">
        <v>789</v>
      </c>
      <c r="D26">
        <v>1875</v>
      </c>
      <c r="E26">
        <v>3080</v>
      </c>
      <c r="F26">
        <v>258</v>
      </c>
      <c r="G26">
        <v>700</v>
      </c>
      <c r="H26" s="25">
        <v>1098</v>
      </c>
    </row>
    <row r="27" spans="1:8" x14ac:dyDescent="0.25">
      <c r="A27" t="s">
        <v>12</v>
      </c>
      <c r="B27" s="1">
        <v>43886.504861111112</v>
      </c>
      <c r="C27">
        <v>773</v>
      </c>
      <c r="D27">
        <v>1600</v>
      </c>
      <c r="E27">
        <v>3096</v>
      </c>
      <c r="F27">
        <v>84</v>
      </c>
      <c r="G27">
        <v>460</v>
      </c>
      <c r="H27">
        <v>1340</v>
      </c>
    </row>
    <row r="28" spans="1:8" x14ac:dyDescent="0.25">
      <c r="A28" t="s">
        <v>11</v>
      </c>
      <c r="B28" s="1">
        <v>43889.5</v>
      </c>
      <c r="C28">
        <v>488</v>
      </c>
      <c r="D28" t="s">
        <v>9</v>
      </c>
      <c r="E28">
        <v>2463</v>
      </c>
      <c r="F28">
        <v>102</v>
      </c>
      <c r="G28">
        <v>258</v>
      </c>
      <c r="H28" s="25">
        <v>1268</v>
      </c>
    </row>
    <row r="29" spans="1:8" x14ac:dyDescent="0.25">
      <c r="A29" t="s">
        <v>10</v>
      </c>
      <c r="B29" s="1">
        <v>43889.5</v>
      </c>
      <c r="C29">
        <v>496</v>
      </c>
      <c r="D29">
        <v>750</v>
      </c>
      <c r="E29">
        <v>2438</v>
      </c>
      <c r="F29">
        <v>141</v>
      </c>
      <c r="G29">
        <v>328</v>
      </c>
    </row>
    <row r="30" spans="1:8" x14ac:dyDescent="0.25">
      <c r="A30" t="s">
        <v>12</v>
      </c>
      <c r="B30" s="1">
        <v>43892.5</v>
      </c>
      <c r="C30">
        <v>479</v>
      </c>
      <c r="D30">
        <v>7000</v>
      </c>
      <c r="E30">
        <v>9850</v>
      </c>
      <c r="F30">
        <v>1478</v>
      </c>
      <c r="G30">
        <v>2650</v>
      </c>
      <c r="H30">
        <v>1528</v>
      </c>
    </row>
    <row r="31" spans="1:8" x14ac:dyDescent="0.25">
      <c r="A31" t="s">
        <v>11</v>
      </c>
      <c r="B31" s="1">
        <v>43896.5</v>
      </c>
      <c r="C31">
        <v>666</v>
      </c>
      <c r="D31">
        <v>1125</v>
      </c>
      <c r="E31">
        <v>1510</v>
      </c>
      <c r="F31">
        <v>39</v>
      </c>
      <c r="G31">
        <v>196</v>
      </c>
      <c r="H31" s="25">
        <v>1096</v>
      </c>
    </row>
    <row r="32" spans="1:8" x14ac:dyDescent="0.25">
      <c r="A32" t="s">
        <v>10</v>
      </c>
      <c r="B32" s="1">
        <v>43896.5</v>
      </c>
      <c r="C32">
        <v>570</v>
      </c>
      <c r="D32">
        <v>1000</v>
      </c>
      <c r="E32">
        <v>1809</v>
      </c>
      <c r="F32">
        <v>86</v>
      </c>
      <c r="G32">
        <v>308</v>
      </c>
    </row>
    <row r="33" spans="1:8" x14ac:dyDescent="0.25">
      <c r="A33" t="s">
        <v>12</v>
      </c>
      <c r="B33" s="1">
        <v>43899.506944444445</v>
      </c>
      <c r="C33">
        <v>801</v>
      </c>
      <c r="D33">
        <v>1250</v>
      </c>
      <c r="E33">
        <v>2385</v>
      </c>
      <c r="F33">
        <v>55</v>
      </c>
      <c r="G33">
        <v>480</v>
      </c>
      <c r="H33">
        <v>1212</v>
      </c>
    </row>
    <row r="34" spans="1:8" x14ac:dyDescent="0.25">
      <c r="A34" t="s">
        <v>8</v>
      </c>
      <c r="B34" s="1">
        <v>43906.5</v>
      </c>
      <c r="C34">
        <v>1019</v>
      </c>
      <c r="D34">
        <v>2500</v>
      </c>
      <c r="E34">
        <v>4092</v>
      </c>
      <c r="F34">
        <v>16</v>
      </c>
      <c r="G34">
        <v>125</v>
      </c>
      <c r="H34">
        <v>2690</v>
      </c>
    </row>
    <row r="35" spans="1:8" x14ac:dyDescent="0.25">
      <c r="A35" t="s">
        <v>12</v>
      </c>
      <c r="B35" s="1">
        <v>43906.5</v>
      </c>
      <c r="C35">
        <v>993</v>
      </c>
      <c r="D35">
        <v>1600</v>
      </c>
      <c r="E35">
        <v>2324</v>
      </c>
      <c r="F35">
        <v>79</v>
      </c>
      <c r="G35">
        <v>450</v>
      </c>
      <c r="H35">
        <v>1132</v>
      </c>
    </row>
    <row r="36" spans="1:8" x14ac:dyDescent="0.25">
      <c r="A36" t="s">
        <v>11</v>
      </c>
      <c r="B36" s="1">
        <v>43910.333333333336</v>
      </c>
      <c r="C36">
        <v>824</v>
      </c>
      <c r="D36">
        <v>1500</v>
      </c>
      <c r="E36">
        <v>2137</v>
      </c>
      <c r="F36">
        <v>37</v>
      </c>
      <c r="G36">
        <v>360</v>
      </c>
      <c r="H36" s="25">
        <v>1156</v>
      </c>
    </row>
    <row r="37" spans="1:8" x14ac:dyDescent="0.25">
      <c r="A37" t="s">
        <v>10</v>
      </c>
      <c r="B37" s="1">
        <v>43910.333333333336</v>
      </c>
      <c r="C37">
        <v>880</v>
      </c>
      <c r="D37">
        <v>875</v>
      </c>
      <c r="E37">
        <v>1858</v>
      </c>
      <c r="F37">
        <v>71</v>
      </c>
      <c r="G37">
        <v>350</v>
      </c>
    </row>
    <row r="38" spans="1:8" x14ac:dyDescent="0.25">
      <c r="A38" t="s">
        <v>13</v>
      </c>
      <c r="B38" s="1">
        <v>43908.333333333336</v>
      </c>
      <c r="C38">
        <v>105</v>
      </c>
      <c r="D38">
        <v>250</v>
      </c>
      <c r="E38">
        <v>781</v>
      </c>
      <c r="F38">
        <v>2</v>
      </c>
      <c r="G38">
        <v>56</v>
      </c>
    </row>
    <row r="39" spans="1:8" x14ac:dyDescent="0.25">
      <c r="A39" t="s">
        <v>14</v>
      </c>
      <c r="B39" s="1">
        <v>43908.333333333336</v>
      </c>
      <c r="C39">
        <v>124</v>
      </c>
      <c r="D39" t="s">
        <v>9</v>
      </c>
      <c r="E39">
        <v>282</v>
      </c>
      <c r="F39">
        <v>23</v>
      </c>
      <c r="G39">
        <v>48</v>
      </c>
    </row>
    <row r="42" spans="1:8" x14ac:dyDescent="0.25">
      <c r="A42" t="s">
        <v>77</v>
      </c>
      <c r="B42" s="1" t="s">
        <v>81</v>
      </c>
      <c r="C42" t="s">
        <v>80</v>
      </c>
    </row>
    <row r="43" spans="1:8" x14ac:dyDescent="0.25">
      <c r="B43">
        <v>0</v>
      </c>
      <c r="C43">
        <v>71</v>
      </c>
    </row>
    <row r="44" spans="1:8" x14ac:dyDescent="0.25">
      <c r="B44">
        <v>30</v>
      </c>
      <c r="C44">
        <v>71</v>
      </c>
    </row>
    <row r="45" spans="1:8" x14ac:dyDescent="0.25">
      <c r="C45" t="s">
        <v>77</v>
      </c>
    </row>
    <row r="46" spans="1:8" x14ac:dyDescent="0.25">
      <c r="C46" t="s">
        <v>79</v>
      </c>
      <c r="D46" t="s">
        <v>78</v>
      </c>
      <c r="F46" t="s">
        <v>79</v>
      </c>
    </row>
    <row r="47" spans="1:8" x14ac:dyDescent="0.25">
      <c r="C47">
        <v>71</v>
      </c>
      <c r="D47">
        <v>0</v>
      </c>
      <c r="F47">
        <v>71</v>
      </c>
    </row>
    <row r="48" spans="1:8" x14ac:dyDescent="0.25">
      <c r="C48">
        <v>0</v>
      </c>
      <c r="D48">
        <v>30</v>
      </c>
      <c r="F48">
        <v>0</v>
      </c>
    </row>
    <row r="49" spans="3:6" x14ac:dyDescent="0.25">
      <c r="C49">
        <v>0</v>
      </c>
      <c r="D49">
        <v>60</v>
      </c>
      <c r="F49">
        <v>0</v>
      </c>
    </row>
    <row r="50" spans="3:6" x14ac:dyDescent="0.25">
      <c r="C50">
        <v>0</v>
      </c>
      <c r="D50">
        <v>90</v>
      </c>
      <c r="F50">
        <v>0</v>
      </c>
    </row>
    <row r="51" spans="3:6" x14ac:dyDescent="0.25">
      <c r="C51">
        <v>0</v>
      </c>
      <c r="D51">
        <v>120</v>
      </c>
      <c r="F51">
        <v>0</v>
      </c>
    </row>
    <row r="52" spans="3:6" x14ac:dyDescent="0.25">
      <c r="C52">
        <v>0</v>
      </c>
      <c r="D52">
        <v>150</v>
      </c>
      <c r="F5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9"/>
  <sheetViews>
    <sheetView tabSelected="1" topLeftCell="AA49" workbookViewId="0">
      <selection activeCell="AM31" sqref="AM31:AM65"/>
    </sheetView>
  </sheetViews>
  <sheetFormatPr defaultRowHeight="15" x14ac:dyDescent="0.25"/>
  <cols>
    <col min="1" max="1" width="24.140625" bestFit="1" customWidth="1"/>
    <col min="2" max="2" width="15.5703125" bestFit="1" customWidth="1"/>
    <col min="3" max="3" width="15.85546875" bestFit="1" customWidth="1"/>
    <col min="4" max="5" width="12.85546875" bestFit="1" customWidth="1"/>
    <col min="6" max="6" width="15.7109375" bestFit="1" customWidth="1"/>
    <col min="7" max="7" width="28.42578125" bestFit="1" customWidth="1"/>
    <col min="8" max="8" width="27" bestFit="1" customWidth="1"/>
  </cols>
  <sheetData>
    <row r="1" spans="1:8" x14ac:dyDescent="0.25">
      <c r="A1" s="46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7" t="s">
        <v>7</v>
      </c>
    </row>
    <row r="2" spans="1:8" s="2" customFormat="1" x14ac:dyDescent="0.25">
      <c r="A2" s="48" t="str">
        <f>'CPUT Poultry Project 2020 (2)'!A2</f>
        <v>CPUT_RAW_POULTRY_EFF</v>
      </c>
      <c r="B2" s="49">
        <v>43860</v>
      </c>
      <c r="C2" s="48">
        <f>'CPUT Poultry Project 2020 (2)'!C2</f>
        <v>488</v>
      </c>
      <c r="D2" s="48" t="str">
        <f>'CPUT Poultry Project 2020 (2)'!D2</f>
        <v>-</v>
      </c>
      <c r="E2" s="48">
        <f>'CPUT Poultry Project 2020 (2)'!E2</f>
        <v>2447</v>
      </c>
      <c r="F2" s="48">
        <f>'CPUT Poultry Project 2020 (2)'!F2</f>
        <v>24</v>
      </c>
      <c r="G2" s="48">
        <f>'CPUT Poultry Project 2020 (2)'!G2</f>
        <v>280</v>
      </c>
      <c r="H2" s="48">
        <f>'CPUT Poultry Project 2020 (2)'!H2</f>
        <v>883</v>
      </c>
    </row>
    <row r="3" spans="1:8" x14ac:dyDescent="0.25">
      <c r="A3" s="46"/>
      <c r="B3" s="50"/>
      <c r="C3" s="46"/>
      <c r="D3" s="46"/>
      <c r="E3" s="46"/>
      <c r="F3" s="46"/>
      <c r="G3" s="46"/>
      <c r="H3" s="46"/>
    </row>
    <row r="4" spans="1:8" s="45" customFormat="1" x14ac:dyDescent="0.25">
      <c r="A4" s="51" t="str">
        <f>'CPUT Poultry Project 2020 (2)'!A4</f>
        <v>CPUT_BIOERG_PRETREAT</v>
      </c>
      <c r="B4" s="52">
        <v>43847</v>
      </c>
      <c r="C4" s="51">
        <f>'CPUT Poultry Project 2020 (2)'!C4</f>
        <v>832</v>
      </c>
      <c r="D4" s="51" t="str">
        <f>'CPUT Poultry Project 2020 (2)'!D4</f>
        <v>-</v>
      </c>
      <c r="E4" s="51">
        <f>'CPUT Poultry Project 2020 (2)'!E4</f>
        <v>1667</v>
      </c>
      <c r="F4" s="51">
        <f>'CPUT Poultry Project 2020 (2)'!F4</f>
        <v>16</v>
      </c>
      <c r="G4" s="51">
        <f>'CPUT Poultry Project 2020 (2)'!G4</f>
        <v>720</v>
      </c>
      <c r="H4" s="51">
        <f>'CPUT Poultry Project 2020 (2)'!H4</f>
        <v>1106</v>
      </c>
    </row>
    <row r="5" spans="1:8" x14ac:dyDescent="0.25">
      <c r="A5" s="46"/>
      <c r="B5" s="50"/>
      <c r="C5" s="46"/>
      <c r="D5" s="46"/>
      <c r="E5" s="46"/>
      <c r="F5" s="46"/>
      <c r="G5" s="46"/>
      <c r="H5" s="46"/>
    </row>
    <row r="6" spans="1:8" s="45" customFormat="1" x14ac:dyDescent="0.25">
      <c r="A6" s="51" t="str">
        <f>'CPUT Poultry Project 2020 (2)'!A6</f>
        <v>CPUT_BIOERG_PRETREAT</v>
      </c>
      <c r="B6" s="52">
        <v>43854.5</v>
      </c>
      <c r="C6" s="51">
        <f>'CPUT Poultry Project 2020 (2)'!C6</f>
        <v>882</v>
      </c>
      <c r="D6" s="51" t="str">
        <f>'CPUT Poultry Project 2020 (2)'!D6</f>
        <v>-</v>
      </c>
      <c r="E6" s="51">
        <f>'CPUT Poultry Project 2020 (2)'!E6</f>
        <v>1450</v>
      </c>
      <c r="F6" s="51">
        <f>'CPUT Poultry Project 2020 (2)'!F6</f>
        <v>27</v>
      </c>
      <c r="G6" s="51">
        <f>'CPUT Poultry Project 2020 (2)'!G6</f>
        <v>80</v>
      </c>
      <c r="H6" s="51">
        <f>'CPUT Poultry Project 2020 (2)'!H6</f>
        <v>1078</v>
      </c>
    </row>
    <row r="7" spans="1:8" x14ac:dyDescent="0.25">
      <c r="A7" s="46"/>
      <c r="B7" s="50"/>
      <c r="C7" s="46"/>
      <c r="D7" s="46"/>
      <c r="E7" s="46"/>
      <c r="F7" s="46"/>
      <c r="G7" s="46"/>
      <c r="H7" s="46"/>
    </row>
    <row r="8" spans="1:8" s="45" customFormat="1" x14ac:dyDescent="0.25">
      <c r="A8" s="51" t="str">
        <f>'CPUT Poultry Project 2020 (2)'!A8</f>
        <v>CPUT_BIOERG_PRETREAT</v>
      </c>
      <c r="B8" s="52">
        <v>43861.5</v>
      </c>
      <c r="C8" s="51">
        <f>'CPUT Poultry Project 2020 (2)'!C8</f>
        <v>869</v>
      </c>
      <c r="D8" s="51" t="str">
        <f>'CPUT Poultry Project 2020 (2)'!D8</f>
        <v>-</v>
      </c>
      <c r="E8" s="51">
        <f>'CPUT Poultry Project 2020 (2)'!E8</f>
        <v>881</v>
      </c>
      <c r="F8" s="51">
        <f>'CPUT Poultry Project 2020 (2)'!F8</f>
        <v>27</v>
      </c>
      <c r="G8" s="51">
        <f>'CPUT Poultry Project 2020 (2)'!G8</f>
        <v>184</v>
      </c>
      <c r="H8" s="51">
        <f>'CPUT Poultry Project 2020 (2)'!H8</f>
        <v>916</v>
      </c>
    </row>
    <row r="9" spans="1:8" x14ac:dyDescent="0.25">
      <c r="A9" s="46"/>
      <c r="B9" s="50"/>
      <c r="C9" s="46"/>
      <c r="D9" s="46"/>
      <c r="E9" s="46"/>
      <c r="F9" s="46"/>
      <c r="G9" s="46"/>
      <c r="H9" s="46"/>
    </row>
    <row r="10" spans="1:8" s="45" customFormat="1" x14ac:dyDescent="0.25">
      <c r="A10" s="51" t="str">
        <f>'CPUT Poultry Project 2020 (2)'!A10</f>
        <v>CPUT_BIOERG_PRETREAT</v>
      </c>
      <c r="B10" s="52">
        <v>43862.5</v>
      </c>
      <c r="C10" s="51">
        <f>'CPUT Poultry Project 2020 (2)'!C10</f>
        <v>496</v>
      </c>
      <c r="D10" s="51">
        <f>'CPUT Poultry Project 2020 (2)'!D10</f>
        <v>0</v>
      </c>
      <c r="E10" s="51">
        <f>'CPUT Poultry Project 2020 (2)'!E10</f>
        <v>1754</v>
      </c>
      <c r="F10" s="51">
        <f>'CPUT Poultry Project 2020 (2)'!F10</f>
        <v>157</v>
      </c>
      <c r="G10" s="51">
        <f>'CPUT Poultry Project 2020 (2)'!G10</f>
        <v>680</v>
      </c>
      <c r="H10" s="51">
        <f>'CPUT Poultry Project 2020 (2)'!H10</f>
        <v>950</v>
      </c>
    </row>
    <row r="11" spans="1:8" s="45" customFormat="1" x14ac:dyDescent="0.25">
      <c r="A11" s="51" t="str">
        <f>'CPUT Poultry Project 2020 (2)'!A11</f>
        <v>CPUT_BIOERG_PRETREAT</v>
      </c>
      <c r="B11" s="52">
        <v>43861.5</v>
      </c>
      <c r="C11" s="51">
        <f>'CPUT Poultry Project 2020 (2)'!C11</f>
        <v>462</v>
      </c>
      <c r="D11" s="51" t="str">
        <f>'CPUT Poultry Project 2020 (2)'!D11</f>
        <v>-</v>
      </c>
      <c r="E11" s="51">
        <f>'CPUT Poultry Project 2020 (2)'!E11</f>
        <v>3613</v>
      </c>
      <c r="F11" s="51">
        <f>'CPUT Poultry Project 2020 (2)'!F11</f>
        <v>33</v>
      </c>
      <c r="G11" s="51">
        <f>'CPUT Poultry Project 2020 (2)'!G11</f>
        <v>348</v>
      </c>
      <c r="H11" s="51">
        <f>'CPUT Poultry Project 2020 (2)'!H11</f>
        <v>1226</v>
      </c>
    </row>
    <row r="12" spans="1:8" x14ac:dyDescent="0.25">
      <c r="A12" s="46"/>
      <c r="B12" s="50"/>
      <c r="C12" s="46"/>
      <c r="D12" s="46"/>
      <c r="E12" s="46"/>
      <c r="F12" s="46"/>
      <c r="G12" s="46"/>
      <c r="H12" s="46"/>
    </row>
    <row r="13" spans="1:8" s="45" customFormat="1" x14ac:dyDescent="0.25">
      <c r="A13" s="51" t="str">
        <f>'CPUT Poultry Project 2020 (2)'!A13</f>
        <v>CPUT_BIOERG_PRETREAT</v>
      </c>
      <c r="B13" s="52">
        <v>43866.5</v>
      </c>
      <c r="C13" s="51">
        <f>'CPUT Poultry Project 2020 (2)'!C13</f>
        <v>816</v>
      </c>
      <c r="D13" s="51" t="str">
        <f>'CPUT Poultry Project 2020 (2)'!D13</f>
        <v>-</v>
      </c>
      <c r="E13" s="51">
        <f>'CPUT Poultry Project 2020 (2)'!E13</f>
        <v>1843</v>
      </c>
      <c r="F13" s="51">
        <f>'CPUT Poultry Project 2020 (2)'!F13</f>
        <v>79</v>
      </c>
      <c r="G13" s="51">
        <f>'CPUT Poultry Project 2020 (2)'!G13</f>
        <v>292</v>
      </c>
      <c r="H13" s="51">
        <f>'CPUT Poultry Project 2020 (2)'!H13</f>
        <v>982</v>
      </c>
    </row>
    <row r="14" spans="1:8" x14ac:dyDescent="0.25">
      <c r="A14" s="46"/>
      <c r="B14" s="50"/>
      <c r="C14" s="46"/>
      <c r="D14" s="46"/>
      <c r="E14" s="46"/>
      <c r="F14" s="46"/>
      <c r="G14" s="46"/>
      <c r="H14" s="46"/>
    </row>
    <row r="15" spans="1:8" s="45" customFormat="1" x14ac:dyDescent="0.25">
      <c r="A15" s="51" t="str">
        <f>'CPUT Poultry Project 2020 (2)'!A15</f>
        <v>CPUT_BIOERG_PRETREAT</v>
      </c>
      <c r="B15" s="52">
        <v>43872.504861111112</v>
      </c>
      <c r="C15" s="51">
        <f>'CPUT Poultry Project 2020 (2)'!C15</f>
        <v>264</v>
      </c>
      <c r="D15" s="51">
        <f>'CPUT Poultry Project 2020 (2)'!D15</f>
        <v>2000</v>
      </c>
      <c r="E15" s="51">
        <f>'CPUT Poultry Project 2020 (2)'!E15</f>
        <v>3525</v>
      </c>
      <c r="F15" s="51">
        <f>'CPUT Poultry Project 2020 (2)'!F15</f>
        <v>135</v>
      </c>
      <c r="G15" s="51">
        <f>'CPUT Poultry Project 2020 (2)'!G15</f>
        <v>940</v>
      </c>
      <c r="H15" s="51">
        <f>'CPUT Poultry Project 2020 (2)'!H15</f>
        <v>1268</v>
      </c>
    </row>
    <row r="16" spans="1:8" x14ac:dyDescent="0.25">
      <c r="A16" s="46"/>
      <c r="B16" s="50"/>
      <c r="C16" s="46"/>
      <c r="D16" s="46"/>
      <c r="E16" s="46"/>
      <c r="F16" s="46"/>
      <c r="G16" s="46"/>
      <c r="H16" s="46"/>
    </row>
    <row r="17" spans="1:44" s="45" customFormat="1" x14ac:dyDescent="0.25">
      <c r="A17" s="51" t="str">
        <f>'CPUT Poultry Project 2020 (2)'!A17</f>
        <v>CPUT_BIOERG_PRETREAT</v>
      </c>
      <c r="B17" s="52">
        <v>43879.504861111112</v>
      </c>
      <c r="C17" s="51">
        <f>'CPUT Poultry Project 2020 (2)'!C17</f>
        <v>479</v>
      </c>
      <c r="D17" s="51">
        <f>'CPUT Poultry Project 2020 (2)'!D17</f>
        <v>2875</v>
      </c>
      <c r="E17" s="51">
        <f>'CPUT Poultry Project 2020 (2)'!E17</f>
        <v>4946</v>
      </c>
      <c r="F17" s="51">
        <f>'CPUT Poultry Project 2020 (2)'!F17</f>
        <v>370</v>
      </c>
      <c r="G17" s="51">
        <f>'CPUT Poultry Project 2020 (2)'!G17</f>
        <v>1173</v>
      </c>
      <c r="H17" s="51">
        <f>'CPUT Poultry Project 2020 (2)'!H17</f>
        <v>1422</v>
      </c>
    </row>
    <row r="18" spans="1:44" x14ac:dyDescent="0.25">
      <c r="A18" s="46"/>
      <c r="B18" s="50"/>
      <c r="C18" s="46"/>
      <c r="D18" s="46"/>
      <c r="E18" s="46"/>
      <c r="F18" s="46"/>
      <c r="G18" s="46"/>
      <c r="H18" s="46"/>
    </row>
    <row r="19" spans="1:44" s="45" customFormat="1" x14ac:dyDescent="0.25">
      <c r="A19" s="51" t="str">
        <f>'CPUT Poultry Project 2020 (2)'!A19</f>
        <v>CPUT_BIOERG_PRETREAT</v>
      </c>
      <c r="B19" s="52">
        <v>43886.504861111112</v>
      </c>
      <c r="C19" s="51">
        <f>'CPUT Poultry Project 2020 (2)'!C19</f>
        <v>773</v>
      </c>
      <c r="D19" s="51">
        <f>'CPUT Poultry Project 2020 (2)'!D19</f>
        <v>1600</v>
      </c>
      <c r="E19" s="51">
        <f>'CPUT Poultry Project 2020 (2)'!E19</f>
        <v>3096</v>
      </c>
      <c r="F19" s="51">
        <f>'CPUT Poultry Project 2020 (2)'!F19</f>
        <v>102</v>
      </c>
      <c r="G19" s="51">
        <f>'CPUT Poultry Project 2020 (2)'!G19</f>
        <v>460</v>
      </c>
      <c r="H19" s="51">
        <f>'CPUT Poultry Project 2020 (2)'!H19</f>
        <v>1340</v>
      </c>
    </row>
    <row r="20" spans="1:44" x14ac:dyDescent="0.25">
      <c r="A20" s="46"/>
      <c r="B20" s="50"/>
      <c r="C20" s="46"/>
      <c r="D20" s="46"/>
      <c r="E20" s="46"/>
      <c r="F20" s="46"/>
      <c r="G20" s="46"/>
      <c r="H20" s="46"/>
    </row>
    <row r="21" spans="1:44" s="2" customFormat="1" x14ac:dyDescent="0.25">
      <c r="A21" s="48" t="str">
        <f>'CPUT Poultry Project 2020 (2)'!A21</f>
        <v>CPUT RAW</v>
      </c>
      <c r="B21" s="49">
        <v>43892.5</v>
      </c>
      <c r="C21" s="48">
        <f>'CPUT Poultry Project 2020 (2)'!C21</f>
        <v>479</v>
      </c>
      <c r="D21" s="48">
        <f>'CPUT Poultry Project 2020 (2)'!D21</f>
        <v>7000</v>
      </c>
      <c r="E21" s="48">
        <f>'CPUT Poultry Project 2020 (2)'!E21</f>
        <v>9850</v>
      </c>
      <c r="F21" s="48">
        <f>'CPUT Poultry Project 2020 (2)'!F21</f>
        <v>1478</v>
      </c>
      <c r="G21" s="48">
        <f>'CPUT Poultry Project 2020 (2)'!G21</f>
        <v>2650</v>
      </c>
      <c r="H21" s="48">
        <f>'CPUT Poultry Project 2020 (2)'!H21</f>
        <v>1528</v>
      </c>
    </row>
    <row r="22" spans="1:44" x14ac:dyDescent="0.25">
      <c r="A22" s="46"/>
      <c r="B22" s="50"/>
      <c r="C22" s="46"/>
      <c r="D22" s="46"/>
      <c r="E22" s="46"/>
      <c r="F22" s="46"/>
      <c r="G22" s="46"/>
      <c r="H22" s="46"/>
    </row>
    <row r="23" spans="1:44" s="45" customFormat="1" x14ac:dyDescent="0.25">
      <c r="A23" s="51" t="str">
        <f>'CPUT Poultry Project 2020 (2)'!A23</f>
        <v>CPUT_BIOERG_PRETREAT</v>
      </c>
      <c r="B23" s="52">
        <v>43899.506944444445</v>
      </c>
      <c r="C23" s="51">
        <f>'CPUT Poultry Project 2020 (2)'!C23</f>
        <v>801</v>
      </c>
      <c r="D23" s="51">
        <f>'CPUT Poultry Project 2020 (2)'!D23</f>
        <v>1250</v>
      </c>
      <c r="E23" s="51">
        <f>'CPUT Poultry Project 2020 (2)'!E23</f>
        <v>2385</v>
      </c>
      <c r="F23" s="51">
        <f>'CPUT Poultry Project 2020 (2)'!F23</f>
        <v>55</v>
      </c>
      <c r="G23" s="51">
        <f>'CPUT Poultry Project 2020 (2)'!G23</f>
        <v>480</v>
      </c>
      <c r="H23" s="51">
        <f>'CPUT Poultry Project 2020 (2)'!H23</f>
        <v>1212</v>
      </c>
    </row>
    <row r="24" spans="1:44" s="2" customFormat="1" x14ac:dyDescent="0.25">
      <c r="A24" s="48" t="str">
        <f>'CPUT Poultry Project 2020 (2)'!A24</f>
        <v>CPUT_RAW_POULTRY_EFF</v>
      </c>
      <c r="B24" s="49">
        <v>43906.5</v>
      </c>
      <c r="C24" s="48">
        <f>'CPUT Poultry Project 2020 (2)'!C24</f>
        <v>1019</v>
      </c>
      <c r="D24" s="48">
        <f>'CPUT Poultry Project 2020 (2)'!D24</f>
        <v>2500</v>
      </c>
      <c r="E24" s="48">
        <f>'CPUT Poultry Project 2020 (2)'!E24</f>
        <v>4092</v>
      </c>
      <c r="F24" s="48">
        <f>'CPUT Poultry Project 2020 (2)'!F24</f>
        <v>16</v>
      </c>
      <c r="G24" s="48">
        <f>'CPUT Poultry Project 2020 (2)'!G24</f>
        <v>125</v>
      </c>
      <c r="H24" s="48">
        <f>'CPUT Poultry Project 2020 (2)'!H24</f>
        <v>2690</v>
      </c>
    </row>
    <row r="25" spans="1:44" s="45" customFormat="1" x14ac:dyDescent="0.25">
      <c r="A25" s="51" t="str">
        <f>'CPUT Poultry Project 2020 (2)'!A25</f>
        <v>CPUT_BIOERG_PRETREAT</v>
      </c>
      <c r="B25" s="52">
        <v>43906.5</v>
      </c>
      <c r="C25" s="51">
        <f>'CPUT Poultry Project 2020 (2)'!C25</f>
        <v>993</v>
      </c>
      <c r="D25" s="51">
        <f>'CPUT Poultry Project 2020 (2)'!D25</f>
        <v>1600</v>
      </c>
      <c r="E25" s="51">
        <f>'CPUT Poultry Project 2020 (2)'!E25</f>
        <v>2324</v>
      </c>
      <c r="F25" s="51">
        <f>'CPUT Poultry Project 2020 (2)'!F25</f>
        <v>79</v>
      </c>
      <c r="G25" s="51">
        <f>'CPUT Poultry Project 2020 (2)'!G25</f>
        <v>450</v>
      </c>
      <c r="H25" s="51">
        <f>'CPUT Poultry Project 2020 (2)'!H25</f>
        <v>1156</v>
      </c>
    </row>
    <row r="26" spans="1:44" x14ac:dyDescent="0.25">
      <c r="B26" s="33"/>
    </row>
    <row r="27" spans="1:44" x14ac:dyDescent="0.25">
      <c r="B27" s="1" t="s">
        <v>168</v>
      </c>
      <c r="F27" t="s">
        <v>169</v>
      </c>
    </row>
    <row r="28" spans="1:44" x14ac:dyDescent="0.25">
      <c r="B28" s="1"/>
      <c r="Y28" s="77"/>
      <c r="Z28" s="77"/>
      <c r="AA28" s="77"/>
      <c r="AB28" s="77"/>
      <c r="AC28" s="77"/>
      <c r="AD28" s="77"/>
      <c r="AE28" s="77"/>
      <c r="AF28" s="77"/>
      <c r="AG28" s="77"/>
      <c r="AN28" s="74" t="s">
        <v>163</v>
      </c>
      <c r="AO28" s="74"/>
      <c r="AP28" s="74"/>
      <c r="AQ28" s="74"/>
    </row>
    <row r="29" spans="1:44" x14ac:dyDescent="0.25">
      <c r="C29" s="75" t="s">
        <v>112</v>
      </c>
      <c r="F29" s="74" t="s">
        <v>111</v>
      </c>
      <c r="I29" s="74" t="s">
        <v>118</v>
      </c>
      <c r="J29" s="74"/>
      <c r="K29" s="74" t="s">
        <v>119</v>
      </c>
      <c r="R29" t="s">
        <v>111</v>
      </c>
      <c r="Y29" s="77"/>
      <c r="Z29" s="77"/>
      <c r="AA29" s="77"/>
      <c r="AB29" s="77"/>
      <c r="AC29" s="77"/>
      <c r="AD29" s="77"/>
      <c r="AE29" s="77"/>
      <c r="AF29" s="77"/>
      <c r="AG29" s="77"/>
      <c r="AL29" s="75" t="s">
        <v>92</v>
      </c>
      <c r="AM29" s="74" t="s">
        <v>160</v>
      </c>
      <c r="AN29" s="74" t="s">
        <v>137</v>
      </c>
      <c r="AO29" s="74" t="s">
        <v>161</v>
      </c>
      <c r="AP29" s="74" t="s">
        <v>162</v>
      </c>
      <c r="AQ29" s="58"/>
      <c r="AR29" s="74"/>
    </row>
    <row r="30" spans="1:44" x14ac:dyDescent="0.25">
      <c r="C30" s="75" t="s">
        <v>107</v>
      </c>
      <c r="D30" s="76" t="s">
        <v>92</v>
      </c>
      <c r="E30" s="76" t="s">
        <v>92</v>
      </c>
      <c r="F30" s="75" t="s">
        <v>107</v>
      </c>
      <c r="G30" s="74" t="s">
        <v>144</v>
      </c>
      <c r="J30" s="75" t="s">
        <v>92</v>
      </c>
      <c r="K30" s="75" t="s">
        <v>119</v>
      </c>
      <c r="L30" s="75" t="s">
        <v>120</v>
      </c>
      <c r="M30" s="75" t="s">
        <v>124</v>
      </c>
      <c r="Q30" s="75" t="s">
        <v>92</v>
      </c>
      <c r="R30" s="74" t="s">
        <v>144</v>
      </c>
      <c r="S30" s="74" t="s">
        <v>149</v>
      </c>
      <c r="T30" s="74" t="s">
        <v>148</v>
      </c>
      <c r="W30" s="74" t="s">
        <v>137</v>
      </c>
      <c r="Y30" s="77"/>
      <c r="AG30" s="77"/>
      <c r="AL30" s="82"/>
      <c r="AM30" s="82"/>
      <c r="AN30" s="82"/>
      <c r="AO30" s="82"/>
      <c r="AP30" s="58"/>
      <c r="AQ30" s="82"/>
      <c r="AR30" s="82"/>
    </row>
    <row r="31" spans="1:44" x14ac:dyDescent="0.25">
      <c r="B31" s="58">
        <v>1</v>
      </c>
      <c r="C31">
        <v>79.24822623660242</v>
      </c>
      <c r="D31" s="58" t="s">
        <v>85</v>
      </c>
      <c r="J31" s="46">
        <v>1</v>
      </c>
      <c r="K31" s="46">
        <v>96.631578947368425</v>
      </c>
      <c r="L31" s="78">
        <v>16</v>
      </c>
      <c r="M31" s="43">
        <v>475</v>
      </c>
      <c r="N31" s="82"/>
      <c r="O31" s="82"/>
      <c r="P31" s="82"/>
      <c r="Q31" s="82"/>
      <c r="R31" s="82"/>
      <c r="S31" s="82"/>
      <c r="T31" s="82"/>
      <c r="V31" s="82"/>
      <c r="W31" s="82"/>
      <c r="Y31" s="77"/>
      <c r="AG31" s="77"/>
      <c r="AL31" s="82">
        <v>1</v>
      </c>
      <c r="AM31" s="82">
        <v>8</v>
      </c>
      <c r="AN31" s="82">
        <v>66.446938056659789</v>
      </c>
      <c r="AO31" s="82">
        <v>92.222222222222229</v>
      </c>
      <c r="AP31" s="58">
        <v>96.631578947368425</v>
      </c>
      <c r="AQ31" s="82"/>
      <c r="AR31" s="82"/>
    </row>
    <row r="32" spans="1:44" x14ac:dyDescent="0.25">
      <c r="B32" s="58"/>
      <c r="D32" s="58" t="s">
        <v>85</v>
      </c>
      <c r="E32">
        <v>1</v>
      </c>
      <c r="F32">
        <v>66.446938056659789</v>
      </c>
      <c r="G32">
        <v>72.727272727272734</v>
      </c>
      <c r="J32" s="46"/>
      <c r="K32" s="46"/>
      <c r="L32" s="46"/>
      <c r="M32" s="43"/>
      <c r="N32" s="82"/>
      <c r="O32" s="82"/>
      <c r="P32" s="82"/>
      <c r="Q32" s="82">
        <v>1</v>
      </c>
      <c r="R32" s="82">
        <v>72.727272727272734</v>
      </c>
      <c r="S32" s="82">
        <v>7333.33</v>
      </c>
      <c r="T32" s="82">
        <v>2000</v>
      </c>
      <c r="V32" s="82"/>
      <c r="W32" s="82">
        <v>66.446938056659789</v>
      </c>
      <c r="Y32" s="77"/>
      <c r="AG32" s="77"/>
      <c r="AL32" s="82"/>
      <c r="AM32" s="82"/>
      <c r="AN32" s="82"/>
      <c r="AO32" s="82"/>
      <c r="AP32" s="58"/>
      <c r="AQ32" s="82"/>
      <c r="AR32" s="82"/>
    </row>
    <row r="33" spans="2:44" x14ac:dyDescent="0.25">
      <c r="B33" s="58">
        <v>2</v>
      </c>
      <c r="C33">
        <v>90.942484778342475</v>
      </c>
      <c r="D33" s="58" t="s">
        <v>86</v>
      </c>
      <c r="J33" s="46">
        <v>2</v>
      </c>
      <c r="K33" s="46">
        <v>94.315789473684205</v>
      </c>
      <c r="L33" s="78">
        <v>27</v>
      </c>
      <c r="M33" s="43">
        <v>475</v>
      </c>
      <c r="N33" s="82"/>
      <c r="O33" s="82"/>
      <c r="P33" s="82"/>
      <c r="Q33" s="82"/>
      <c r="R33" s="82"/>
      <c r="S33" s="82"/>
      <c r="T33" s="82"/>
      <c r="V33" s="82"/>
      <c r="W33" s="82"/>
      <c r="Y33" s="77"/>
      <c r="AG33" s="77"/>
      <c r="AL33" s="82">
        <v>2</v>
      </c>
      <c r="AM33" s="82">
        <v>6</v>
      </c>
      <c r="AN33" s="82">
        <v>70.814673174659077</v>
      </c>
      <c r="AO33" s="82">
        <v>91.944444444444443</v>
      </c>
      <c r="AP33" s="58">
        <v>94.315789473684205</v>
      </c>
      <c r="AQ33" s="82"/>
      <c r="AR33" s="82"/>
    </row>
    <row r="34" spans="2:44" x14ac:dyDescent="0.25">
      <c r="B34" s="58"/>
      <c r="D34" s="58" t="s">
        <v>86</v>
      </c>
      <c r="E34">
        <v>2</v>
      </c>
      <c r="F34">
        <v>70.814673174659077</v>
      </c>
      <c r="G34">
        <v>60.795454545454554</v>
      </c>
      <c r="J34" s="46"/>
      <c r="K34" s="46"/>
      <c r="L34" s="46"/>
      <c r="M34" s="43"/>
      <c r="N34" s="82"/>
      <c r="O34" s="82"/>
      <c r="P34" s="82"/>
      <c r="Q34" s="82">
        <v>2</v>
      </c>
      <c r="R34" s="82">
        <v>60.795454545454554</v>
      </c>
      <c r="S34" s="82">
        <v>7333.33</v>
      </c>
      <c r="T34" s="82">
        <v>2875</v>
      </c>
      <c r="V34" s="82"/>
      <c r="W34" s="82">
        <v>70.814673174659077</v>
      </c>
      <c r="Y34" s="77"/>
      <c r="AG34" s="77"/>
      <c r="AL34" s="82"/>
      <c r="AM34" s="82"/>
      <c r="AN34" s="82"/>
      <c r="AO34" s="82"/>
      <c r="AP34" s="58"/>
      <c r="AQ34" s="82"/>
      <c r="AR34" s="82"/>
    </row>
    <row r="35" spans="2:44" x14ac:dyDescent="0.25">
      <c r="B35" s="58">
        <v>3</v>
      </c>
      <c r="C35">
        <v>92.794243445881335</v>
      </c>
      <c r="D35" s="58" t="s">
        <v>87</v>
      </c>
      <c r="J35" s="46">
        <v>3</v>
      </c>
      <c r="K35" s="46">
        <v>94.315789473684205</v>
      </c>
      <c r="L35" s="78">
        <v>27</v>
      </c>
      <c r="M35" s="43">
        <v>475</v>
      </c>
      <c r="N35" s="82"/>
      <c r="O35" s="82"/>
      <c r="P35" s="82"/>
      <c r="Q35" s="82"/>
      <c r="R35" s="82"/>
      <c r="S35" s="82"/>
      <c r="T35" s="82"/>
      <c r="V35" s="82"/>
      <c r="W35" s="82"/>
      <c r="Y35" s="77"/>
      <c r="AG35" s="77"/>
      <c r="AL35" s="82">
        <v>3</v>
      </c>
      <c r="AM35" s="82">
        <v>9</v>
      </c>
      <c r="AN35" s="82">
        <v>82.267397977154928</v>
      </c>
      <c r="AO35" s="82">
        <v>93.82352941176471</v>
      </c>
      <c r="AP35" s="58">
        <v>94.315789473684205</v>
      </c>
      <c r="AQ35" s="82"/>
      <c r="AR35" s="82"/>
    </row>
    <row r="36" spans="2:44" x14ac:dyDescent="0.25">
      <c r="B36" s="58"/>
      <c r="D36" s="58" t="s">
        <v>87</v>
      </c>
      <c r="E36">
        <v>3</v>
      </c>
      <c r="F36">
        <v>82.267397977154928</v>
      </c>
      <c r="G36">
        <v>78.181818181818187</v>
      </c>
      <c r="J36" s="46"/>
      <c r="K36" s="46"/>
      <c r="L36" s="46"/>
      <c r="M36" s="43"/>
      <c r="N36" s="82"/>
      <c r="O36" s="82"/>
      <c r="P36" s="82"/>
      <c r="Q36" s="82">
        <v>3</v>
      </c>
      <c r="R36" s="82">
        <v>78.181818181818187</v>
      </c>
      <c r="S36" s="82">
        <v>7333.33</v>
      </c>
      <c r="T36" s="82">
        <v>1600</v>
      </c>
      <c r="V36" s="82"/>
      <c r="W36" s="82">
        <v>82.267397977154928</v>
      </c>
      <c r="Y36" s="77"/>
      <c r="AG36" s="77"/>
      <c r="AL36" s="82"/>
      <c r="AM36" s="82"/>
      <c r="AN36" s="82"/>
      <c r="AO36" s="82"/>
      <c r="AP36" s="58"/>
      <c r="AQ36" s="82"/>
      <c r="AR36" s="82"/>
    </row>
    <row r="37" spans="2:44" x14ac:dyDescent="0.25">
      <c r="B37" s="58">
        <v>4</v>
      </c>
      <c r="C37">
        <v>72.344386856539018</v>
      </c>
      <c r="D37" s="58" t="s">
        <v>88</v>
      </c>
      <c r="J37" s="46">
        <v>4</v>
      </c>
      <c r="K37" s="46">
        <v>89.377537212449255</v>
      </c>
      <c r="L37" s="51">
        <v>11</v>
      </c>
      <c r="M37" s="43">
        <v>475</v>
      </c>
      <c r="N37" s="82"/>
      <c r="O37" s="82"/>
      <c r="P37" s="82"/>
      <c r="Q37" s="82"/>
      <c r="R37" s="82"/>
      <c r="S37" s="82"/>
      <c r="T37" s="82"/>
      <c r="V37" s="82"/>
      <c r="W37" s="82"/>
      <c r="Y37" s="77"/>
      <c r="AG37" s="77"/>
      <c r="AL37" s="82">
        <v>4</v>
      </c>
      <c r="AM37" s="82">
        <v>7</v>
      </c>
      <c r="AN37" s="82">
        <v>64.695818447139331</v>
      </c>
      <c r="AO37" s="82">
        <v>98.088235294117638</v>
      </c>
      <c r="AP37" s="58">
        <v>89.377537212449255</v>
      </c>
      <c r="AQ37" s="82"/>
      <c r="AR37" s="82"/>
    </row>
    <row r="38" spans="2:44" x14ac:dyDescent="0.25">
      <c r="B38" s="58"/>
      <c r="D38" s="58" t="s">
        <v>88</v>
      </c>
      <c r="E38">
        <v>4</v>
      </c>
      <c r="F38">
        <v>64.695818447139331</v>
      </c>
      <c r="G38">
        <v>82.954545454545453</v>
      </c>
      <c r="J38" s="46"/>
      <c r="K38" s="46"/>
      <c r="L38" s="79"/>
      <c r="N38" s="82"/>
      <c r="O38" s="82"/>
      <c r="P38" s="82"/>
      <c r="Q38" s="82">
        <v>4</v>
      </c>
      <c r="R38" s="82">
        <v>82.954545454545453</v>
      </c>
      <c r="S38" s="82">
        <v>7333.33</v>
      </c>
      <c r="T38" s="82">
        <v>1250</v>
      </c>
      <c r="V38" s="82"/>
      <c r="W38" s="82">
        <v>64.695818447139331</v>
      </c>
      <c r="Y38" s="77"/>
      <c r="AG38" s="77"/>
      <c r="AL38" s="82"/>
      <c r="AM38" s="82"/>
      <c r="AN38" s="82"/>
      <c r="AO38" s="82"/>
      <c r="AP38" s="58"/>
      <c r="AQ38" s="82"/>
      <c r="AR38" s="82"/>
    </row>
    <row r="39" spans="2:44" x14ac:dyDescent="0.25">
      <c r="B39" s="58">
        <v>5</v>
      </c>
      <c r="C39">
        <v>82.345177664974628</v>
      </c>
      <c r="D39" s="58" t="s">
        <v>89</v>
      </c>
      <c r="J39" s="46">
        <v>5</v>
      </c>
      <c r="K39" s="46">
        <v>71.578947368421055</v>
      </c>
      <c r="L39" s="78">
        <v>135</v>
      </c>
      <c r="M39" s="43">
        <v>475</v>
      </c>
      <c r="N39" s="82"/>
      <c r="O39" s="82"/>
      <c r="P39" s="82"/>
      <c r="Q39" s="82"/>
      <c r="R39" s="82"/>
      <c r="S39" s="82"/>
      <c r="T39" s="82"/>
      <c r="V39" s="82"/>
      <c r="W39" s="82"/>
      <c r="Y39" s="77"/>
      <c r="AG39" s="77"/>
      <c r="AL39" s="82">
        <v>5</v>
      </c>
      <c r="AM39" s="82">
        <v>8</v>
      </c>
      <c r="AN39" s="82">
        <v>64.213197969543145</v>
      </c>
      <c r="AO39" s="82">
        <v>90.638297872340416</v>
      </c>
      <c r="AP39" s="58">
        <v>71.578947368421055</v>
      </c>
      <c r="AQ39" s="82"/>
      <c r="AR39" s="82"/>
    </row>
    <row r="40" spans="2:44" x14ac:dyDescent="0.25">
      <c r="B40" s="58"/>
      <c r="D40" s="58" t="s">
        <v>89</v>
      </c>
      <c r="E40">
        <v>5</v>
      </c>
      <c r="F40">
        <v>64.213197969543145</v>
      </c>
      <c r="G40">
        <v>78.181818181818187</v>
      </c>
      <c r="J40" s="46"/>
      <c r="K40" s="46"/>
      <c r="L40" s="46"/>
      <c r="N40" s="82"/>
      <c r="O40" s="82"/>
      <c r="P40" s="82"/>
      <c r="Q40" s="82">
        <v>5</v>
      </c>
      <c r="R40" s="82">
        <v>78.181818181818187</v>
      </c>
      <c r="S40" s="82">
        <v>7333.33</v>
      </c>
      <c r="T40" s="82">
        <v>1600</v>
      </c>
      <c r="V40" s="82"/>
      <c r="W40" s="82">
        <v>64.213197969543145</v>
      </c>
      <c r="Y40" s="77"/>
      <c r="AG40" s="77"/>
      <c r="AL40" s="82"/>
      <c r="AM40" s="82"/>
      <c r="AN40" s="82"/>
      <c r="AO40" s="82"/>
      <c r="AP40" s="58"/>
      <c r="AQ40" s="82"/>
      <c r="AR40" s="82"/>
    </row>
    <row r="41" spans="2:44" x14ac:dyDescent="0.25">
      <c r="B41" s="58">
        <v>6</v>
      </c>
      <c r="C41">
        <v>68.73096446700508</v>
      </c>
      <c r="D41" s="58" t="s">
        <v>90</v>
      </c>
      <c r="J41" s="46">
        <v>6</v>
      </c>
      <c r="K41" s="46">
        <v>74.966170500676583</v>
      </c>
      <c r="L41" s="78">
        <v>370</v>
      </c>
      <c r="M41" s="43">
        <v>1478</v>
      </c>
      <c r="N41" s="82"/>
      <c r="O41" s="82"/>
      <c r="P41" s="82"/>
      <c r="Q41" s="82"/>
      <c r="R41" s="82"/>
      <c r="S41" s="82"/>
      <c r="T41" s="82"/>
      <c r="V41" s="82"/>
      <c r="W41" s="82"/>
      <c r="Y41" s="77"/>
      <c r="AG41" s="77"/>
      <c r="AL41" s="82">
        <v>6</v>
      </c>
      <c r="AM41" s="82">
        <v>9</v>
      </c>
      <c r="AN41" s="82">
        <v>49.786802030456847</v>
      </c>
      <c r="AO41" s="82">
        <v>79.073243647234676</v>
      </c>
      <c r="AP41" s="58">
        <v>74.966170500676583</v>
      </c>
      <c r="AQ41" s="82"/>
      <c r="AR41" s="82"/>
    </row>
    <row r="42" spans="2:44" x14ac:dyDescent="0.25">
      <c r="B42" s="58"/>
      <c r="D42" s="58" t="s">
        <v>90</v>
      </c>
      <c r="E42">
        <v>6</v>
      </c>
      <c r="F42">
        <v>49.786802030456847</v>
      </c>
      <c r="G42">
        <v>76.61363636363636</v>
      </c>
      <c r="J42" s="46"/>
      <c r="K42" s="46"/>
      <c r="L42" s="46"/>
      <c r="N42" s="82"/>
      <c r="O42" s="82"/>
      <c r="P42" s="82"/>
      <c r="Q42" s="82">
        <v>6</v>
      </c>
      <c r="R42" s="82">
        <v>76.61363636363636</v>
      </c>
      <c r="S42" s="82">
        <v>7333.33</v>
      </c>
      <c r="T42" s="82">
        <v>1715</v>
      </c>
      <c r="V42" s="82"/>
      <c r="W42" s="82">
        <v>49.786802030456847</v>
      </c>
      <c r="Y42" s="77"/>
      <c r="AG42" s="77"/>
      <c r="AL42" s="82"/>
      <c r="AM42" s="82"/>
      <c r="AN42" s="82"/>
      <c r="AO42" s="82"/>
      <c r="AP42" s="58"/>
      <c r="AQ42" s="82"/>
      <c r="AR42" s="82"/>
    </row>
    <row r="43" spans="2:44" x14ac:dyDescent="0.25">
      <c r="B43" s="58">
        <v>7</v>
      </c>
      <c r="C43">
        <v>74.994923857868017</v>
      </c>
      <c r="D43" s="58" t="s">
        <v>91</v>
      </c>
      <c r="J43" s="46">
        <v>7</v>
      </c>
      <c r="K43" s="46">
        <v>93.098782138024362</v>
      </c>
      <c r="L43" s="78">
        <v>102</v>
      </c>
      <c r="M43" s="43">
        <v>1478</v>
      </c>
      <c r="N43" s="82"/>
      <c r="O43" s="82"/>
      <c r="P43" s="82"/>
      <c r="Q43" s="82"/>
      <c r="R43" s="82"/>
      <c r="S43" s="82"/>
      <c r="T43" s="82"/>
      <c r="V43" s="82"/>
      <c r="W43" s="82"/>
      <c r="Y43" s="77"/>
      <c r="AG43" s="77"/>
      <c r="AL43" s="82">
        <v>7</v>
      </c>
      <c r="AM43" s="82">
        <v>8</v>
      </c>
      <c r="AN43" s="82">
        <v>68.568527918781726</v>
      </c>
      <c r="AO43" s="82">
        <v>92.286995515695068</v>
      </c>
      <c r="AP43" s="58">
        <v>93.098782138024362</v>
      </c>
      <c r="AQ43" s="82"/>
      <c r="AR43" s="82"/>
    </row>
    <row r="44" spans="2:44" x14ac:dyDescent="0.25">
      <c r="B44" s="58"/>
      <c r="D44" s="58" t="s">
        <v>91</v>
      </c>
      <c r="E44">
        <v>7</v>
      </c>
      <c r="F44">
        <v>68.568527918781726</v>
      </c>
      <c r="G44">
        <v>82.627272727272725</v>
      </c>
      <c r="J44" s="46"/>
      <c r="K44" s="46"/>
      <c r="L44" s="46"/>
      <c r="N44" s="82"/>
      <c r="O44" s="82"/>
      <c r="P44" s="82"/>
      <c r="Q44" s="82">
        <v>7</v>
      </c>
      <c r="R44" s="82">
        <v>82.627272727272725</v>
      </c>
      <c r="S44" s="82">
        <v>7333.33</v>
      </c>
      <c r="T44" s="82">
        <v>1274</v>
      </c>
      <c r="V44" s="82"/>
      <c r="W44" s="82">
        <v>68.568527918781726</v>
      </c>
      <c r="Y44" s="77"/>
      <c r="AG44" s="77"/>
      <c r="AL44" s="82"/>
      <c r="AM44" s="82"/>
      <c r="AN44" s="82"/>
      <c r="AO44" s="82"/>
      <c r="AP44" s="82"/>
      <c r="AQ44" s="82"/>
      <c r="AR44" s="82"/>
    </row>
    <row r="45" spans="2:44" x14ac:dyDescent="0.25">
      <c r="B45" s="58">
        <v>8</v>
      </c>
      <c r="C45">
        <v>84.670050761421322</v>
      </c>
      <c r="D45" s="58" t="s">
        <v>93</v>
      </c>
      <c r="J45" s="46">
        <v>8</v>
      </c>
      <c r="K45" s="46">
        <v>88.421052631578945</v>
      </c>
      <c r="L45" s="78">
        <v>55</v>
      </c>
      <c r="M45" s="43">
        <v>475</v>
      </c>
      <c r="N45" s="82"/>
      <c r="O45" s="82"/>
      <c r="P45" s="82"/>
      <c r="Q45" s="82"/>
      <c r="S45" s="82"/>
      <c r="T45" s="82"/>
      <c r="U45" s="82"/>
      <c r="V45" s="82"/>
      <c r="W45" s="82"/>
      <c r="Y45" s="77"/>
      <c r="AG45" s="77"/>
      <c r="AL45" s="82">
        <v>8</v>
      </c>
      <c r="AM45" s="82">
        <v>9</v>
      </c>
      <c r="AN45" s="82">
        <v>75.786802030456855</v>
      </c>
      <c r="AO45" s="82">
        <v>83.290707587382784</v>
      </c>
      <c r="AP45" s="82">
        <v>88.421052631578945</v>
      </c>
      <c r="AQ45" s="82"/>
      <c r="AR45" s="82"/>
    </row>
    <row r="46" spans="2:44" x14ac:dyDescent="0.25">
      <c r="B46" s="58"/>
      <c r="D46" s="58" t="s">
        <v>93</v>
      </c>
      <c r="E46">
        <v>8</v>
      </c>
      <c r="F46">
        <v>75.786802030456855</v>
      </c>
      <c r="J46" s="46"/>
      <c r="K46" s="46"/>
      <c r="L46" s="46"/>
      <c r="N46" s="82"/>
      <c r="O46" s="82"/>
      <c r="P46" s="82"/>
      <c r="Q46" s="82">
        <v>8</v>
      </c>
      <c r="S46" s="82"/>
      <c r="T46" s="82"/>
      <c r="U46" s="82"/>
      <c r="V46" s="82"/>
      <c r="W46" s="82">
        <v>75.786802030456855</v>
      </c>
      <c r="Y46" s="77"/>
      <c r="Z46" s="77"/>
      <c r="AA46" s="77"/>
      <c r="AB46" s="77"/>
      <c r="AC46" s="77"/>
      <c r="AD46" s="77"/>
      <c r="AE46" s="77"/>
      <c r="AF46" s="77"/>
      <c r="AG46" s="77"/>
      <c r="AL46" s="82"/>
      <c r="AM46" s="82"/>
      <c r="AN46" s="82"/>
      <c r="AO46" s="82"/>
      <c r="AP46" s="82"/>
      <c r="AQ46" s="82"/>
      <c r="AR46" s="82"/>
    </row>
    <row r="47" spans="2:44" x14ac:dyDescent="0.25">
      <c r="B47" s="58">
        <v>9</v>
      </c>
      <c r="C47">
        <v>78.304568527918789</v>
      </c>
      <c r="D47" s="58" t="s">
        <v>94</v>
      </c>
      <c r="J47" s="46">
        <v>9</v>
      </c>
      <c r="K47" s="46">
        <v>83.368421052631575</v>
      </c>
      <c r="L47" s="78">
        <v>79</v>
      </c>
      <c r="M47" s="43">
        <v>475</v>
      </c>
      <c r="N47" s="82"/>
      <c r="O47" s="82"/>
      <c r="P47" s="82"/>
      <c r="Q47" s="82"/>
      <c r="S47" s="82"/>
      <c r="T47" s="82"/>
      <c r="U47" s="82"/>
      <c r="V47" s="82"/>
      <c r="W47" s="82"/>
      <c r="Y47" s="77"/>
      <c r="Z47" s="77"/>
      <c r="AA47" s="77"/>
      <c r="AB47" s="77"/>
      <c r="AC47" s="77"/>
      <c r="AD47" s="77"/>
      <c r="AE47" s="77"/>
      <c r="AF47" s="77"/>
      <c r="AG47" s="77"/>
      <c r="AL47" s="82">
        <v>9</v>
      </c>
      <c r="AM47" s="82">
        <v>7</v>
      </c>
      <c r="AN47" s="82">
        <v>76.406091370558372</v>
      </c>
      <c r="AO47" s="82">
        <v>89.237668161434982</v>
      </c>
      <c r="AP47" s="82">
        <v>83.368421052631575</v>
      </c>
      <c r="AQ47" s="82"/>
      <c r="AR47" s="82"/>
    </row>
    <row r="48" spans="2:44" x14ac:dyDescent="0.25">
      <c r="B48" s="58"/>
      <c r="D48" s="58" t="s">
        <v>94</v>
      </c>
      <c r="E48">
        <v>9</v>
      </c>
      <c r="F48">
        <v>76.406091370558372</v>
      </c>
      <c r="J48" s="46"/>
      <c r="K48" s="46"/>
      <c r="L48" s="46"/>
      <c r="N48" s="82"/>
      <c r="O48" s="82"/>
      <c r="P48" s="82"/>
      <c r="Q48" s="82">
        <v>9</v>
      </c>
      <c r="S48" s="82"/>
      <c r="T48" s="82"/>
      <c r="U48" s="82"/>
      <c r="V48" s="82"/>
      <c r="W48" s="82">
        <v>76.406091370558372</v>
      </c>
      <c r="AL48" s="82"/>
      <c r="AM48" s="82"/>
      <c r="AN48" s="82"/>
      <c r="AO48" s="82"/>
      <c r="AP48" s="82"/>
      <c r="AQ48" s="82"/>
      <c r="AR48" s="82"/>
    </row>
    <row r="49" spans="2:52" x14ac:dyDescent="0.25">
      <c r="B49" s="58">
        <v>10</v>
      </c>
      <c r="C49">
        <v>84.294416243654823</v>
      </c>
      <c r="D49" s="58" t="s">
        <v>95</v>
      </c>
      <c r="J49" s="46">
        <v>10</v>
      </c>
      <c r="K49" s="46">
        <v>85.791610284167803</v>
      </c>
      <c r="L49" s="51">
        <v>210</v>
      </c>
      <c r="M49" s="43">
        <v>1478</v>
      </c>
      <c r="N49" s="82"/>
      <c r="O49" s="82"/>
      <c r="P49" s="82"/>
      <c r="Q49" s="82"/>
      <c r="S49" s="82"/>
      <c r="T49" s="82"/>
      <c r="U49" s="82"/>
      <c r="V49" s="82"/>
      <c r="W49" s="82"/>
      <c r="AL49" s="82">
        <v>10</v>
      </c>
      <c r="AM49" s="82">
        <v>8</v>
      </c>
      <c r="AN49" s="82">
        <v>79.543147208121823</v>
      </c>
      <c r="AO49" s="82">
        <v>87.982062780269061</v>
      </c>
      <c r="AP49" s="82">
        <v>85.791610284167803</v>
      </c>
      <c r="AQ49" s="82"/>
      <c r="AR49" s="82"/>
    </row>
    <row r="50" spans="2:52" x14ac:dyDescent="0.25">
      <c r="B50" s="58"/>
      <c r="D50" s="58" t="s">
        <v>95</v>
      </c>
      <c r="E50">
        <v>10</v>
      </c>
      <c r="F50">
        <v>79.543147208121823</v>
      </c>
      <c r="J50" s="46"/>
      <c r="K50" s="46"/>
      <c r="L50" s="46"/>
      <c r="N50" s="82"/>
      <c r="O50" s="82"/>
      <c r="P50" s="82"/>
      <c r="Q50" s="82">
        <v>10</v>
      </c>
      <c r="S50" s="82"/>
      <c r="T50" s="82"/>
      <c r="U50" s="82"/>
      <c r="V50" s="82"/>
      <c r="W50" s="82">
        <v>79.543147208121823</v>
      </c>
      <c r="AL50" s="82"/>
      <c r="AM50" s="82"/>
      <c r="AN50" s="82"/>
      <c r="AP50" s="82"/>
      <c r="AQ50" s="82"/>
      <c r="AR50" s="82"/>
    </row>
    <row r="51" spans="2:52" x14ac:dyDescent="0.25">
      <c r="B51" s="58">
        <v>11</v>
      </c>
      <c r="C51">
        <v>83.370558375634516</v>
      </c>
      <c r="D51" s="58" t="s">
        <v>99</v>
      </c>
      <c r="J51" s="46">
        <v>11</v>
      </c>
      <c r="K51" s="46">
        <v>86.73883626522327</v>
      </c>
      <c r="L51" s="51">
        <v>196</v>
      </c>
      <c r="M51" s="43">
        <v>1478</v>
      </c>
      <c r="N51" s="82"/>
      <c r="O51" s="82"/>
      <c r="P51" s="82"/>
      <c r="Q51" s="82"/>
      <c r="S51" s="82"/>
      <c r="T51" s="82"/>
      <c r="U51" s="82"/>
      <c r="V51" s="82"/>
      <c r="W51" s="82"/>
      <c r="AL51" s="82">
        <v>11</v>
      </c>
      <c r="AM51" s="82">
        <v>8</v>
      </c>
      <c r="AN51" s="82">
        <v>68.73096446700508</v>
      </c>
      <c r="AO51" s="58">
        <v>71.717171717171709</v>
      </c>
      <c r="AP51" s="82">
        <v>86.73883626522327</v>
      </c>
      <c r="AQ51" s="82"/>
      <c r="AR51" s="82"/>
    </row>
    <row r="52" spans="2:52" x14ac:dyDescent="0.25">
      <c r="B52" s="58"/>
      <c r="D52" s="58" t="s">
        <v>99</v>
      </c>
      <c r="E52">
        <v>11</v>
      </c>
      <c r="F52">
        <v>68.73096446700508</v>
      </c>
      <c r="J52" s="46"/>
      <c r="K52" s="46"/>
      <c r="L52" s="46"/>
      <c r="N52" s="82"/>
      <c r="O52" s="82"/>
      <c r="P52" s="82"/>
      <c r="Q52" s="82">
        <v>11</v>
      </c>
      <c r="S52" s="82"/>
      <c r="T52" s="82"/>
      <c r="U52" s="82"/>
      <c r="V52" s="82"/>
      <c r="W52" s="82">
        <v>68.73096446700508</v>
      </c>
      <c r="AL52" s="82"/>
      <c r="AM52" s="82"/>
      <c r="AN52" s="82"/>
      <c r="AO52" s="82"/>
      <c r="AP52" s="82"/>
      <c r="AQ52" s="82"/>
      <c r="AR52" s="82"/>
      <c r="AS52" t="s">
        <v>167</v>
      </c>
    </row>
    <row r="53" spans="2:52" x14ac:dyDescent="0.25">
      <c r="B53" s="58">
        <v>12</v>
      </c>
      <c r="C53">
        <v>88.081218274111677</v>
      </c>
      <c r="D53" s="58" t="s">
        <v>100</v>
      </c>
      <c r="J53" s="46">
        <v>12</v>
      </c>
      <c r="K53" s="46">
        <v>93.05263157894737</v>
      </c>
      <c r="L53" s="51">
        <v>33</v>
      </c>
      <c r="M53" s="43">
        <v>475</v>
      </c>
      <c r="N53" s="82"/>
      <c r="O53" s="82"/>
      <c r="P53" s="82"/>
      <c r="Q53" s="82"/>
      <c r="S53" s="82"/>
      <c r="T53" s="82"/>
      <c r="U53" s="82"/>
      <c r="V53" s="82"/>
      <c r="W53" s="82"/>
      <c r="AL53" s="58">
        <v>12</v>
      </c>
      <c r="AM53" s="82">
        <v>9</v>
      </c>
      <c r="AN53" s="58">
        <v>63.319796954314725</v>
      </c>
      <c r="AO53" s="58">
        <v>95.156950672645735</v>
      </c>
      <c r="AP53" s="58">
        <v>93.05263157894737</v>
      </c>
      <c r="AQ53" s="58"/>
      <c r="AR53" s="58"/>
    </row>
    <row r="54" spans="2:52" x14ac:dyDescent="0.25">
      <c r="B54" s="58"/>
      <c r="D54" s="58" t="s">
        <v>100</v>
      </c>
      <c r="E54">
        <v>12</v>
      </c>
      <c r="F54">
        <v>63.319796954314725</v>
      </c>
      <c r="J54" s="46"/>
      <c r="K54" s="46"/>
      <c r="L54" s="46"/>
      <c r="Q54">
        <v>12</v>
      </c>
      <c r="W54">
        <v>63.319796954314725</v>
      </c>
      <c r="AL54" s="58"/>
      <c r="AM54" s="82"/>
      <c r="AN54" s="58"/>
      <c r="AO54" s="58"/>
      <c r="AP54" s="58"/>
      <c r="AQ54" s="77"/>
      <c r="AR54" s="77"/>
      <c r="AS54" s="77"/>
      <c r="AT54" s="77"/>
      <c r="AU54" s="77"/>
      <c r="AV54" s="77"/>
      <c r="AW54" s="77"/>
      <c r="AX54" s="77"/>
      <c r="AY54" s="77"/>
      <c r="AZ54" s="77"/>
    </row>
    <row r="55" spans="2:52" x14ac:dyDescent="0.25">
      <c r="B55" s="58">
        <v>13</v>
      </c>
      <c r="C55">
        <v>92.862944162436548</v>
      </c>
      <c r="D55" s="58" t="s">
        <v>101</v>
      </c>
      <c r="J55" s="46">
        <v>13</v>
      </c>
      <c r="K55" s="46">
        <v>83.368421052631575</v>
      </c>
      <c r="L55" s="51">
        <v>79</v>
      </c>
      <c r="M55" s="43">
        <v>475</v>
      </c>
      <c r="AL55" s="58">
        <v>13</v>
      </c>
      <c r="AM55" s="82">
        <v>9</v>
      </c>
      <c r="AN55" s="58">
        <v>81.289340101522839</v>
      </c>
      <c r="AO55" s="58">
        <v>94.020926756352765</v>
      </c>
      <c r="AP55" s="58">
        <v>83.368421052631575</v>
      </c>
      <c r="AQ55" s="77"/>
      <c r="AR55" s="77"/>
      <c r="AS55" s="77"/>
      <c r="AT55" s="77"/>
      <c r="AU55" s="77"/>
      <c r="AV55" s="77"/>
      <c r="AW55" s="77"/>
      <c r="AX55" s="77"/>
      <c r="AY55" s="77"/>
      <c r="AZ55" s="77"/>
    </row>
    <row r="56" spans="2:52" x14ac:dyDescent="0.25">
      <c r="B56" s="58"/>
      <c r="D56" s="58" t="s">
        <v>101</v>
      </c>
      <c r="E56">
        <v>13</v>
      </c>
      <c r="F56">
        <v>81.289340101522839</v>
      </c>
      <c r="J56" s="46"/>
      <c r="K56" s="46"/>
      <c r="L56" s="46"/>
      <c r="Q56">
        <v>13</v>
      </c>
      <c r="W56">
        <v>81.289340101522839</v>
      </c>
      <c r="AL56" s="58"/>
      <c r="AM56" s="82"/>
      <c r="AN56" s="58"/>
      <c r="AP56" s="58"/>
      <c r="AQ56" s="77"/>
      <c r="AR56" s="77"/>
      <c r="AS56" s="77"/>
      <c r="AT56" s="77"/>
      <c r="AU56" s="77"/>
      <c r="AV56" s="77"/>
      <c r="AW56" s="77"/>
      <c r="AX56" s="77"/>
      <c r="AY56" s="77"/>
      <c r="AZ56" s="77"/>
    </row>
    <row r="57" spans="2:52" x14ac:dyDescent="0.25">
      <c r="B57" s="58">
        <v>14</v>
      </c>
      <c r="D57" s="58" t="s">
        <v>102</v>
      </c>
      <c r="J57" s="46">
        <v>14</v>
      </c>
      <c r="K57" s="46"/>
      <c r="L57" s="46"/>
      <c r="AL57" s="58">
        <v>14</v>
      </c>
      <c r="AM57" s="82"/>
      <c r="AN57" s="58"/>
      <c r="AO57" s="58"/>
      <c r="AP57" s="58"/>
      <c r="AQ57" s="77"/>
      <c r="AR57" s="77"/>
      <c r="AS57" s="77"/>
      <c r="AT57" s="77"/>
      <c r="AU57" s="77"/>
      <c r="AV57" s="77"/>
      <c r="AW57" s="77"/>
      <c r="AX57" s="77"/>
      <c r="AY57" s="77"/>
      <c r="AZ57" s="77"/>
    </row>
    <row r="58" spans="2:52" x14ac:dyDescent="0.25">
      <c r="B58" s="58"/>
      <c r="D58" s="58" t="s">
        <v>102</v>
      </c>
      <c r="E58">
        <v>14</v>
      </c>
      <c r="J58" s="46"/>
      <c r="K58" s="46"/>
      <c r="L58" s="46"/>
      <c r="Q58">
        <v>14</v>
      </c>
      <c r="AL58" s="58"/>
      <c r="AM58" s="82"/>
      <c r="AN58" s="58"/>
      <c r="AP58" s="58"/>
      <c r="AQ58" s="77"/>
      <c r="AR58" s="77"/>
      <c r="AS58" s="77"/>
      <c r="AT58" s="77"/>
      <c r="AU58" s="77"/>
      <c r="AV58" s="77"/>
      <c r="AW58" s="77"/>
      <c r="AX58" s="77"/>
      <c r="AY58" s="77"/>
      <c r="AZ58" s="77"/>
    </row>
    <row r="59" spans="2:52" x14ac:dyDescent="0.25">
      <c r="B59" s="58">
        <v>15</v>
      </c>
      <c r="C59">
        <v>88.060913705583758</v>
      </c>
      <c r="D59" s="58" t="s">
        <v>98</v>
      </c>
      <c r="J59" s="46">
        <v>15</v>
      </c>
      <c r="K59" s="46">
        <v>81.05263157894737</v>
      </c>
      <c r="L59" s="80">
        <v>90</v>
      </c>
      <c r="M59" s="43">
        <v>475</v>
      </c>
      <c r="AL59" s="58">
        <v>15</v>
      </c>
      <c r="AM59" s="82">
        <v>8</v>
      </c>
      <c r="AN59" s="58">
        <v>87.532994923857871</v>
      </c>
      <c r="AO59" s="58">
        <v>95.575485799701042</v>
      </c>
      <c r="AP59" s="58">
        <v>81.05263157894737</v>
      </c>
      <c r="AQ59" s="77"/>
      <c r="AR59" s="77"/>
      <c r="AS59" s="77"/>
      <c r="AT59" s="77"/>
      <c r="AU59" s="77"/>
      <c r="AV59" s="77"/>
      <c r="AW59" s="77"/>
      <c r="AX59" s="77"/>
      <c r="AY59" s="77"/>
      <c r="AZ59" s="77"/>
    </row>
    <row r="60" spans="2:52" x14ac:dyDescent="0.25">
      <c r="B60" s="58"/>
      <c r="D60" s="58" t="s">
        <v>98</v>
      </c>
      <c r="E60">
        <v>15</v>
      </c>
      <c r="F60">
        <v>87.532994923857871</v>
      </c>
      <c r="J60" s="46"/>
      <c r="K60" s="46"/>
      <c r="L60" s="46"/>
      <c r="Q60">
        <v>15</v>
      </c>
      <c r="W60">
        <v>87.532994923857871</v>
      </c>
      <c r="AL60" s="58"/>
      <c r="AM60" s="82"/>
      <c r="AN60" s="58"/>
      <c r="AO60" s="58"/>
      <c r="AP60" s="58"/>
      <c r="AQ60" s="77"/>
      <c r="AR60" s="77"/>
      <c r="AS60" s="77"/>
      <c r="AT60" s="77"/>
      <c r="AU60" s="77"/>
      <c r="AV60" s="77"/>
      <c r="AW60" s="77"/>
      <c r="AX60" s="77"/>
      <c r="AY60" s="77"/>
      <c r="AZ60" s="77"/>
    </row>
    <row r="61" spans="2:52" x14ac:dyDescent="0.25">
      <c r="B61" s="58">
        <v>16</v>
      </c>
      <c r="C61">
        <v>89.898477157360404</v>
      </c>
      <c r="D61" s="58" t="s">
        <v>103</v>
      </c>
      <c r="J61" s="46">
        <v>16</v>
      </c>
      <c r="K61" s="46">
        <v>86.73883626522327</v>
      </c>
      <c r="L61" s="80">
        <v>196</v>
      </c>
      <c r="M61" s="43">
        <v>1478</v>
      </c>
      <c r="AL61" s="58">
        <v>16</v>
      </c>
      <c r="AM61" s="82">
        <v>8</v>
      </c>
      <c r="AN61" s="58">
        <v>81.035532994923855</v>
      </c>
      <c r="AO61" s="58">
        <v>97.010463378176382</v>
      </c>
      <c r="AP61" s="58">
        <v>86.73883626522327</v>
      </c>
      <c r="AQ61" s="77"/>
      <c r="AR61" s="77"/>
      <c r="AS61" s="77"/>
      <c r="AT61" s="77"/>
      <c r="AU61" s="77"/>
      <c r="AV61" s="77"/>
      <c r="AW61" s="77"/>
      <c r="AX61" s="77"/>
      <c r="AY61" s="77"/>
      <c r="AZ61" s="77"/>
    </row>
    <row r="62" spans="2:52" x14ac:dyDescent="0.25">
      <c r="B62" s="58"/>
      <c r="D62" s="58" t="s">
        <v>103</v>
      </c>
      <c r="E62">
        <v>16</v>
      </c>
      <c r="F62">
        <v>81.035532994923855</v>
      </c>
      <c r="J62" s="46"/>
      <c r="K62" s="46"/>
      <c r="L62" s="81"/>
      <c r="Q62">
        <v>16</v>
      </c>
      <c r="W62">
        <v>81.035532994923855</v>
      </c>
      <c r="AL62" s="58"/>
      <c r="AM62" s="82"/>
      <c r="AN62" s="58"/>
      <c r="AP62" s="58"/>
      <c r="AQ62" s="77"/>
      <c r="AR62" s="77"/>
      <c r="AS62" s="77"/>
      <c r="AT62" s="77"/>
      <c r="AU62" s="77"/>
      <c r="AV62" s="77"/>
      <c r="AW62" s="77"/>
      <c r="AX62" s="77"/>
      <c r="AY62" s="77"/>
      <c r="AZ62" s="77"/>
    </row>
    <row r="63" spans="2:52" x14ac:dyDescent="0.25">
      <c r="B63" s="58">
        <v>17</v>
      </c>
      <c r="C63">
        <v>91.6243654822335</v>
      </c>
      <c r="D63" s="58" t="s">
        <v>104</v>
      </c>
      <c r="J63" s="46">
        <v>17</v>
      </c>
      <c r="K63" s="46">
        <v>92.963464140730721</v>
      </c>
      <c r="L63" s="80">
        <v>104</v>
      </c>
      <c r="M63" s="43">
        <v>1478</v>
      </c>
      <c r="AL63" s="58">
        <v>17</v>
      </c>
      <c r="AM63" s="82">
        <v>8</v>
      </c>
      <c r="AN63" s="58">
        <v>81.878172588832484</v>
      </c>
      <c r="AO63" s="58">
        <v>95.455904334828105</v>
      </c>
      <c r="AP63" s="58">
        <v>92.963464140730721</v>
      </c>
      <c r="AQ63" s="77"/>
      <c r="AR63" s="77"/>
      <c r="AS63" s="77"/>
      <c r="AT63" s="77"/>
      <c r="AU63" s="77"/>
      <c r="AV63" s="77"/>
      <c r="AW63" s="77"/>
      <c r="AX63" s="77"/>
      <c r="AY63" s="77"/>
      <c r="AZ63" s="77"/>
    </row>
    <row r="64" spans="2:52" x14ac:dyDescent="0.25">
      <c r="B64" s="58"/>
      <c r="D64" s="58" t="s">
        <v>104</v>
      </c>
      <c r="E64">
        <v>17</v>
      </c>
      <c r="F64">
        <v>81.878172588832484</v>
      </c>
      <c r="J64" s="46"/>
      <c r="K64" s="46"/>
      <c r="L64" s="81"/>
      <c r="Q64">
        <v>17</v>
      </c>
      <c r="W64">
        <v>81.878172588832484</v>
      </c>
      <c r="AL64" s="58"/>
      <c r="AM64" s="82"/>
      <c r="AN64" s="58"/>
      <c r="AP64" s="58"/>
      <c r="AQ64" s="77"/>
      <c r="AR64" s="77"/>
      <c r="AS64" s="77"/>
      <c r="AT64" s="77"/>
      <c r="AU64" s="77"/>
      <c r="AV64" s="77"/>
      <c r="AW64" s="77"/>
      <c r="AX64" s="77"/>
      <c r="AY64" s="77"/>
      <c r="AZ64" s="77"/>
    </row>
    <row r="65" spans="2:52" x14ac:dyDescent="0.25">
      <c r="B65" s="58">
        <v>18</v>
      </c>
      <c r="C65">
        <v>92.802030456852791</v>
      </c>
      <c r="D65" s="58" t="s">
        <v>105</v>
      </c>
      <c r="J65" s="46">
        <v>18</v>
      </c>
      <c r="K65" s="46">
        <v>89.473684210526315</v>
      </c>
      <c r="L65" s="80">
        <v>50</v>
      </c>
      <c r="M65" s="43">
        <v>475</v>
      </c>
      <c r="AL65" s="58">
        <v>18</v>
      </c>
      <c r="AM65" s="82">
        <v>6</v>
      </c>
      <c r="AN65" s="58">
        <v>85.065989847715741</v>
      </c>
      <c r="AO65">
        <v>96.651718983557544</v>
      </c>
      <c r="AP65" s="58">
        <v>89.473684210526315</v>
      </c>
      <c r="AQ65" s="77"/>
      <c r="AR65" s="77"/>
      <c r="AS65" s="77"/>
      <c r="AT65" s="77"/>
      <c r="AU65" s="77"/>
      <c r="AV65" s="77"/>
      <c r="AW65" s="77"/>
      <c r="AX65" s="77"/>
      <c r="AY65" s="77"/>
      <c r="AZ65" s="77"/>
    </row>
    <row r="66" spans="2:52" x14ac:dyDescent="0.25">
      <c r="D66" s="58" t="s">
        <v>105</v>
      </c>
      <c r="E66">
        <v>18</v>
      </c>
      <c r="F66">
        <v>85.065989847715741</v>
      </c>
      <c r="J66" s="46"/>
      <c r="K66" s="46"/>
      <c r="L66" s="81"/>
      <c r="Q66">
        <v>18</v>
      </c>
      <c r="W66">
        <v>85.065989847715741</v>
      </c>
      <c r="AQ66" s="77"/>
      <c r="AR66" s="77"/>
      <c r="AS66" s="77"/>
      <c r="AT66" s="77"/>
      <c r="AU66" s="77"/>
      <c r="AV66" s="77"/>
      <c r="AW66" s="77"/>
      <c r="AX66" s="77"/>
      <c r="AY66" s="77"/>
      <c r="AZ66" s="77"/>
    </row>
    <row r="67" spans="2:52" x14ac:dyDescent="0.25">
      <c r="AQ67" s="77"/>
      <c r="AR67" s="77"/>
      <c r="AS67" s="77"/>
      <c r="AT67" s="77"/>
      <c r="AU67" s="77"/>
      <c r="AV67" s="77"/>
      <c r="AW67" s="77"/>
      <c r="AX67" s="77"/>
      <c r="AY67" s="77"/>
      <c r="AZ67" s="77"/>
    </row>
    <row r="68" spans="2:52" x14ac:dyDescent="0.25">
      <c r="AQ68" s="77"/>
      <c r="AR68" s="77"/>
      <c r="AS68" s="77"/>
      <c r="AT68" s="77"/>
      <c r="AU68" s="77"/>
      <c r="AV68" s="77"/>
      <c r="AW68" s="77"/>
      <c r="AX68" s="77"/>
      <c r="AY68" s="77"/>
      <c r="AZ68" s="77"/>
    </row>
    <row r="69" spans="2:52" x14ac:dyDescent="0.25">
      <c r="D69" s="74" t="s">
        <v>92</v>
      </c>
      <c r="E69" s="74" t="s">
        <v>107</v>
      </c>
      <c r="AQ69" s="77"/>
      <c r="AR69" s="77"/>
      <c r="AS69" s="77"/>
      <c r="AT69" s="77"/>
      <c r="AU69" s="77"/>
      <c r="AV69" s="77"/>
      <c r="AW69" s="77"/>
      <c r="AX69" s="77"/>
      <c r="AY69" s="77"/>
      <c r="AZ69" s="77"/>
    </row>
    <row r="70" spans="2:52" x14ac:dyDescent="0.25">
      <c r="AQ70" s="77"/>
      <c r="AR70" s="77"/>
      <c r="AS70" s="77"/>
      <c r="AT70" s="77"/>
      <c r="AU70" s="77"/>
      <c r="AV70" s="77"/>
      <c r="AW70" s="77"/>
      <c r="AX70" s="77"/>
      <c r="AY70" s="77"/>
      <c r="AZ70" s="77"/>
    </row>
    <row r="71" spans="2:52" x14ac:dyDescent="0.25">
      <c r="D71">
        <v>7</v>
      </c>
      <c r="E71">
        <v>66.446938056659789</v>
      </c>
      <c r="AQ71" s="77"/>
      <c r="AR71" s="77"/>
      <c r="AS71" s="77"/>
      <c r="AT71" s="77"/>
      <c r="AU71" s="77"/>
      <c r="AV71" s="77"/>
      <c r="AW71" s="77"/>
      <c r="AX71" s="77"/>
      <c r="AY71" s="77"/>
      <c r="AZ71" s="77"/>
    </row>
    <row r="73" spans="2:52" x14ac:dyDescent="0.25">
      <c r="D73">
        <v>14</v>
      </c>
      <c r="E73">
        <v>70.814673174659077</v>
      </c>
    </row>
    <row r="75" spans="2:52" x14ac:dyDescent="0.25">
      <c r="D75">
        <v>21</v>
      </c>
      <c r="E75">
        <v>82.267397977154928</v>
      </c>
    </row>
    <row r="77" spans="2:52" x14ac:dyDescent="0.25">
      <c r="D77">
        <v>28</v>
      </c>
      <c r="E77">
        <v>64.695818447139331</v>
      </c>
    </row>
    <row r="79" spans="2:52" x14ac:dyDescent="0.25">
      <c r="D79">
        <v>35</v>
      </c>
      <c r="E79">
        <v>64.213197969543145</v>
      </c>
    </row>
    <row r="81" spans="4:15" x14ac:dyDescent="0.25">
      <c r="D81">
        <v>42</v>
      </c>
      <c r="E81">
        <v>49.786802030456847</v>
      </c>
    </row>
    <row r="83" spans="4:15" x14ac:dyDescent="0.25">
      <c r="D83">
        <v>49</v>
      </c>
      <c r="E83">
        <v>68.568527918781726</v>
      </c>
    </row>
    <row r="85" spans="4:15" x14ac:dyDescent="0.25">
      <c r="D85">
        <v>56</v>
      </c>
      <c r="E85">
        <v>75.786802030456855</v>
      </c>
    </row>
    <row r="87" spans="4:15" x14ac:dyDescent="0.25">
      <c r="D87">
        <v>63</v>
      </c>
      <c r="E87">
        <v>76.406091370558372</v>
      </c>
    </row>
    <row r="89" spans="4:15" x14ac:dyDescent="0.25">
      <c r="D89">
        <v>70</v>
      </c>
      <c r="E89">
        <v>79.543147208121823</v>
      </c>
    </row>
    <row r="90" spans="4:15" x14ac:dyDescent="0.25">
      <c r="H90" s="77"/>
      <c r="I90" s="77"/>
      <c r="J90" s="77"/>
      <c r="K90" s="77"/>
      <c r="L90" s="77"/>
      <c r="M90" s="77"/>
      <c r="N90" s="77"/>
      <c r="O90" s="77"/>
    </row>
    <row r="91" spans="4:15" x14ac:dyDescent="0.25">
      <c r="D91">
        <v>77</v>
      </c>
      <c r="E91">
        <v>68.73096446700508</v>
      </c>
      <c r="H91" s="77"/>
      <c r="I91" s="77"/>
      <c r="J91" s="77"/>
      <c r="K91" s="77"/>
      <c r="L91" s="77"/>
      <c r="M91" s="77"/>
      <c r="N91" s="77"/>
      <c r="O91" s="77"/>
    </row>
    <row r="92" spans="4:15" x14ac:dyDescent="0.25">
      <c r="H92" s="77"/>
      <c r="I92" s="77"/>
      <c r="J92" s="77"/>
      <c r="K92" s="77"/>
      <c r="L92" s="77"/>
      <c r="M92" s="77"/>
      <c r="N92" s="77"/>
      <c r="O92" s="77"/>
    </row>
    <row r="93" spans="4:15" x14ac:dyDescent="0.25">
      <c r="D93">
        <v>84</v>
      </c>
      <c r="E93">
        <v>63.319796954314725</v>
      </c>
      <c r="H93" s="77"/>
      <c r="I93" s="77"/>
      <c r="J93" s="77"/>
      <c r="K93" s="77"/>
      <c r="L93" s="77"/>
      <c r="M93" s="77"/>
      <c r="N93" s="77"/>
      <c r="O93" s="77"/>
    </row>
    <row r="94" spans="4:15" x14ac:dyDescent="0.25">
      <c r="H94" s="77"/>
      <c r="K94" s="77"/>
      <c r="O94" s="77"/>
    </row>
    <row r="95" spans="4:15" x14ac:dyDescent="0.25">
      <c r="D95">
        <v>91</v>
      </c>
      <c r="E95">
        <v>81.289340101522839</v>
      </c>
      <c r="H95" s="77"/>
      <c r="K95" s="77"/>
      <c r="O95" s="77"/>
    </row>
    <row r="96" spans="4:15" x14ac:dyDescent="0.25">
      <c r="H96" s="77"/>
      <c r="K96" s="77"/>
      <c r="O96" s="77"/>
    </row>
    <row r="97" spans="4:15" x14ac:dyDescent="0.25">
      <c r="D97">
        <v>98</v>
      </c>
      <c r="H97" s="77"/>
      <c r="K97" s="77"/>
      <c r="O97" s="77"/>
    </row>
    <row r="98" spans="4:15" x14ac:dyDescent="0.25">
      <c r="H98" s="77"/>
      <c r="K98" s="77"/>
      <c r="O98" s="77"/>
    </row>
    <row r="99" spans="4:15" x14ac:dyDescent="0.25">
      <c r="D99">
        <v>105</v>
      </c>
      <c r="E99">
        <v>87.532994923857871</v>
      </c>
      <c r="H99" s="77"/>
      <c r="K99" s="77"/>
      <c r="O99" s="77"/>
    </row>
    <row r="100" spans="4:15" x14ac:dyDescent="0.25">
      <c r="H100" s="77"/>
      <c r="K100" s="77"/>
      <c r="O100" s="77"/>
    </row>
    <row r="101" spans="4:15" x14ac:dyDescent="0.25">
      <c r="D101">
        <v>112</v>
      </c>
      <c r="E101">
        <v>81.035532994923855</v>
      </c>
      <c r="H101" s="77"/>
      <c r="K101" s="77"/>
      <c r="O101" s="77"/>
    </row>
    <row r="102" spans="4:15" x14ac:dyDescent="0.25">
      <c r="H102" s="77"/>
      <c r="K102" s="77"/>
      <c r="O102" s="77"/>
    </row>
    <row r="103" spans="4:15" x14ac:dyDescent="0.25">
      <c r="D103">
        <v>119</v>
      </c>
      <c r="E103">
        <v>81.878172588832484</v>
      </c>
      <c r="H103" s="77"/>
      <c r="K103" s="77"/>
      <c r="O103" s="77"/>
    </row>
    <row r="104" spans="4:15" x14ac:dyDescent="0.25">
      <c r="H104" s="77"/>
      <c r="K104" s="77"/>
      <c r="O104" s="77"/>
    </row>
    <row r="105" spans="4:15" x14ac:dyDescent="0.25">
      <c r="D105">
        <v>126</v>
      </c>
      <c r="E105">
        <v>85.065989847715741</v>
      </c>
      <c r="H105" s="77"/>
      <c r="K105" s="77"/>
      <c r="O105" s="77"/>
    </row>
    <row r="106" spans="4:15" x14ac:dyDescent="0.25">
      <c r="H106" s="77"/>
      <c r="K106" s="77"/>
      <c r="O106" s="77"/>
    </row>
    <row r="107" spans="4:15" x14ac:dyDescent="0.25">
      <c r="H107" s="77"/>
      <c r="K107" s="77"/>
      <c r="O107" s="77"/>
    </row>
    <row r="108" spans="4:15" x14ac:dyDescent="0.25">
      <c r="H108" s="77"/>
      <c r="I108" s="77"/>
      <c r="J108" s="77"/>
      <c r="K108" s="77"/>
      <c r="L108" s="77"/>
      <c r="M108" s="77"/>
      <c r="N108" s="77"/>
      <c r="O108" s="77"/>
    </row>
    <row r="109" spans="4:15" x14ac:dyDescent="0.25">
      <c r="H109" s="77"/>
      <c r="I109" s="77"/>
      <c r="J109" s="77"/>
      <c r="K109" s="77"/>
      <c r="L109" s="77"/>
      <c r="M109" s="77"/>
      <c r="N109" s="77"/>
      <c r="O109" s="7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8"/>
  <sheetViews>
    <sheetView topLeftCell="X79" workbookViewId="0">
      <selection activeCell="AO95" sqref="AO95"/>
    </sheetView>
  </sheetViews>
  <sheetFormatPr defaultRowHeight="15" x14ac:dyDescent="0.25"/>
  <cols>
    <col min="1" max="1" width="24.140625" bestFit="1" customWidth="1"/>
    <col min="2" max="2" width="15.5703125" bestFit="1" customWidth="1"/>
    <col min="3" max="3" width="15.85546875" bestFit="1" customWidth="1"/>
    <col min="4" max="5" width="11.140625" bestFit="1" customWidth="1"/>
    <col min="6" max="6" width="10.85546875" bestFit="1" customWidth="1"/>
    <col min="7" max="7" width="13.28515625" customWidth="1"/>
    <col min="8" max="8" width="13.42578125" customWidth="1"/>
    <col min="49" max="49" width="15.285156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5" t="s">
        <v>7</v>
      </c>
    </row>
    <row r="2" spans="1:15" x14ac:dyDescent="0.25">
      <c r="A2" s="2" t="s">
        <v>8</v>
      </c>
      <c r="B2" s="26">
        <v>43860.54583333333</v>
      </c>
      <c r="C2" s="2">
        <v>488</v>
      </c>
      <c r="D2" s="2" t="s">
        <v>9</v>
      </c>
      <c r="E2" s="2">
        <v>2447</v>
      </c>
      <c r="F2" s="2">
        <v>24</v>
      </c>
      <c r="G2" s="2">
        <v>280</v>
      </c>
      <c r="H2" s="2">
        <v>883</v>
      </c>
    </row>
    <row r="3" spans="1:15" x14ac:dyDescent="0.25">
      <c r="A3" s="35" t="s">
        <v>11</v>
      </c>
      <c r="B3" s="36">
        <v>43847.5</v>
      </c>
      <c r="C3" s="37">
        <v>971</v>
      </c>
      <c r="D3" s="37" t="s">
        <v>9</v>
      </c>
      <c r="E3" s="37">
        <v>1031</v>
      </c>
      <c r="F3" s="37">
        <v>9</v>
      </c>
      <c r="G3" s="37">
        <v>56</v>
      </c>
      <c r="H3" s="38">
        <v>1006</v>
      </c>
      <c r="M3" s="74" t="s">
        <v>156</v>
      </c>
      <c r="N3" s="74"/>
      <c r="O3" s="74"/>
    </row>
    <row r="4" spans="1:15" x14ac:dyDescent="0.25">
      <c r="A4" s="39"/>
      <c r="B4" s="40"/>
      <c r="C4" s="41"/>
      <c r="D4" s="41"/>
      <c r="E4" s="41"/>
      <c r="F4" s="41"/>
      <c r="G4" s="41"/>
      <c r="H4" s="42"/>
      <c r="M4" s="74" t="s">
        <v>150</v>
      </c>
      <c r="N4" s="74" t="s">
        <v>151</v>
      </c>
      <c r="O4" s="74" t="s">
        <v>153</v>
      </c>
    </row>
    <row r="5" spans="1:15" x14ac:dyDescent="0.25">
      <c r="A5" s="35" t="s">
        <v>11</v>
      </c>
      <c r="B5" s="36">
        <v>43854.5</v>
      </c>
      <c r="C5" s="37">
        <v>940</v>
      </c>
      <c r="D5" s="37" t="s">
        <v>9</v>
      </c>
      <c r="E5" s="37">
        <v>450</v>
      </c>
      <c r="F5" s="37">
        <v>26</v>
      </c>
      <c r="G5" s="37">
        <v>58</v>
      </c>
      <c r="H5" s="38">
        <v>884</v>
      </c>
      <c r="L5" s="74" t="s">
        <v>152</v>
      </c>
      <c r="M5" s="74">
        <f>(E21+E24+E2)/3</f>
        <v>5463</v>
      </c>
      <c r="N5" s="74">
        <v>1374.33</v>
      </c>
      <c r="O5" s="74">
        <f>(M5-N5)/M5*100</f>
        <v>74.842943437671607</v>
      </c>
    </row>
    <row r="6" spans="1:15" x14ac:dyDescent="0.25">
      <c r="A6" s="39"/>
      <c r="B6" s="40"/>
      <c r="C6" s="41"/>
      <c r="D6" s="41"/>
      <c r="E6" s="41"/>
      <c r="F6" s="41"/>
      <c r="G6" s="41"/>
      <c r="H6" s="42"/>
      <c r="L6" s="74" t="s">
        <v>55</v>
      </c>
      <c r="M6" s="74">
        <v>1053.75</v>
      </c>
      <c r="N6" s="74">
        <v>189.18</v>
      </c>
      <c r="O6" s="74">
        <f>(M6-N6)/M6*100</f>
        <v>82.046975088967969</v>
      </c>
    </row>
    <row r="7" spans="1:15" x14ac:dyDescent="0.25">
      <c r="A7" s="35" t="s">
        <v>11</v>
      </c>
      <c r="B7" s="36">
        <v>43861.5</v>
      </c>
      <c r="C7" s="37">
        <v>940</v>
      </c>
      <c r="D7" s="37" t="s">
        <v>9</v>
      </c>
      <c r="E7" s="37">
        <v>358</v>
      </c>
      <c r="F7" s="37">
        <v>8</v>
      </c>
      <c r="G7" s="37">
        <v>42</v>
      </c>
      <c r="H7" s="38">
        <v>834</v>
      </c>
      <c r="L7" s="74" t="s">
        <v>154</v>
      </c>
      <c r="M7" s="74">
        <v>6.78</v>
      </c>
      <c r="N7" s="74"/>
      <c r="O7" s="74"/>
    </row>
    <row r="8" spans="1:15" x14ac:dyDescent="0.25">
      <c r="A8" s="39"/>
      <c r="B8" s="40"/>
      <c r="C8" s="41"/>
      <c r="D8" s="41"/>
      <c r="E8" s="41"/>
      <c r="F8" s="41"/>
      <c r="G8" s="41"/>
      <c r="H8" s="42"/>
      <c r="L8" s="74" t="s">
        <v>155</v>
      </c>
      <c r="M8" s="74">
        <v>37.6</v>
      </c>
      <c r="N8" s="74"/>
      <c r="O8" s="74"/>
    </row>
    <row r="9" spans="1:15" x14ac:dyDescent="0.25">
      <c r="A9" s="35" t="s">
        <v>11</v>
      </c>
      <c r="B9" s="36">
        <v>43862.5</v>
      </c>
      <c r="C9" s="37">
        <v>812</v>
      </c>
      <c r="D9" s="37" t="s">
        <v>9</v>
      </c>
      <c r="E9" s="37">
        <v>1374</v>
      </c>
      <c r="F9" s="37">
        <v>11</v>
      </c>
      <c r="G9" s="37">
        <v>13</v>
      </c>
      <c r="H9" s="38">
        <v>870</v>
      </c>
    </row>
    <row r="10" spans="1:15" x14ac:dyDescent="0.25">
      <c r="A10" s="39"/>
      <c r="B10" s="40"/>
      <c r="C10" s="41"/>
      <c r="D10" s="41"/>
      <c r="E10" s="41"/>
      <c r="F10" s="41"/>
      <c r="G10" s="41"/>
      <c r="H10" s="42"/>
    </row>
    <row r="11" spans="1:15" x14ac:dyDescent="0.25">
      <c r="A11" s="28"/>
      <c r="B11" s="29"/>
      <c r="C11" s="30"/>
      <c r="D11" s="30"/>
      <c r="E11" s="30"/>
      <c r="F11" s="30"/>
      <c r="G11" s="30"/>
      <c r="H11" s="31"/>
      <c r="L11" s="74"/>
      <c r="M11" s="74" t="s">
        <v>157</v>
      </c>
      <c r="N11" s="74"/>
      <c r="O11" s="74"/>
    </row>
    <row r="12" spans="1:15" x14ac:dyDescent="0.25">
      <c r="A12" s="32" t="s">
        <v>11</v>
      </c>
      <c r="B12" s="33">
        <v>43861.5</v>
      </c>
      <c r="C12" s="34">
        <v>490</v>
      </c>
      <c r="D12" s="34" t="s">
        <v>9</v>
      </c>
      <c r="E12" s="34">
        <v>1174</v>
      </c>
      <c r="F12" s="34">
        <v>25</v>
      </c>
      <c r="G12" s="34">
        <v>162</v>
      </c>
      <c r="H12" s="44">
        <v>1140</v>
      </c>
      <c r="L12" s="74"/>
      <c r="M12" s="74" t="s">
        <v>150</v>
      </c>
      <c r="N12" s="74" t="s">
        <v>151</v>
      </c>
      <c r="O12" s="74" t="s">
        <v>153</v>
      </c>
    </row>
    <row r="13" spans="1:15" x14ac:dyDescent="0.25">
      <c r="A13" s="28"/>
      <c r="B13" s="29"/>
      <c r="C13" s="30"/>
      <c r="D13" s="30"/>
      <c r="E13" s="30"/>
      <c r="F13" s="30"/>
      <c r="G13" s="30"/>
      <c r="H13" s="31"/>
      <c r="L13" s="74" t="s">
        <v>152</v>
      </c>
      <c r="M13" s="74">
        <v>5463</v>
      </c>
      <c r="N13" s="74">
        <v>1374.33</v>
      </c>
      <c r="O13" s="74">
        <v>74.842943437671607</v>
      </c>
    </row>
    <row r="14" spans="1:15" x14ac:dyDescent="0.25">
      <c r="A14" s="32" t="s">
        <v>11</v>
      </c>
      <c r="B14" s="33">
        <v>43866.5</v>
      </c>
      <c r="C14" s="34">
        <v>965</v>
      </c>
      <c r="D14" s="34" t="s">
        <v>9</v>
      </c>
      <c r="E14" s="34">
        <v>1176</v>
      </c>
      <c r="F14" s="34">
        <v>17</v>
      </c>
      <c r="G14" s="34">
        <v>148</v>
      </c>
      <c r="H14" s="44">
        <v>956</v>
      </c>
      <c r="L14" s="74" t="s">
        <v>55</v>
      </c>
      <c r="M14" s="74">
        <v>1053.75</v>
      </c>
      <c r="N14" s="74">
        <v>189.18</v>
      </c>
      <c r="O14" s="74">
        <v>82.046975088967969</v>
      </c>
    </row>
    <row r="15" spans="1:15" x14ac:dyDescent="0.25">
      <c r="A15" s="28"/>
      <c r="B15" s="29"/>
      <c r="C15" s="30"/>
      <c r="D15" s="30"/>
      <c r="E15" s="30"/>
      <c r="F15" s="30"/>
      <c r="G15" s="30"/>
      <c r="H15" s="31"/>
      <c r="L15" s="74" t="s">
        <v>154</v>
      </c>
      <c r="M15" s="74">
        <v>6.78</v>
      </c>
      <c r="N15" s="74"/>
      <c r="O15" s="74"/>
    </row>
    <row r="16" spans="1:15" x14ac:dyDescent="0.25">
      <c r="A16" s="32" t="s">
        <v>11</v>
      </c>
      <c r="B16" s="33">
        <v>43872.504861111112</v>
      </c>
      <c r="C16" s="34">
        <v>702</v>
      </c>
      <c r="D16" s="34">
        <v>875</v>
      </c>
      <c r="E16" s="34">
        <v>1739</v>
      </c>
      <c r="F16" s="34">
        <v>8</v>
      </c>
      <c r="G16" s="34">
        <v>88</v>
      </c>
      <c r="H16" s="44">
        <v>1132</v>
      </c>
      <c r="L16" s="74" t="s">
        <v>155</v>
      </c>
      <c r="M16" s="74">
        <v>37.6</v>
      </c>
      <c r="N16" s="74"/>
      <c r="O16" s="74"/>
    </row>
    <row r="17" spans="1:48" x14ac:dyDescent="0.25">
      <c r="A17" s="28"/>
      <c r="B17" s="29"/>
      <c r="C17" s="30"/>
      <c r="D17" s="30"/>
      <c r="E17" s="30"/>
      <c r="F17" s="30"/>
      <c r="G17" s="30"/>
      <c r="H17" s="31"/>
    </row>
    <row r="18" spans="1:48" x14ac:dyDescent="0.25">
      <c r="A18" s="32" t="s">
        <v>11</v>
      </c>
      <c r="B18" s="33">
        <v>43879.504861111112</v>
      </c>
      <c r="C18" s="34">
        <v>789</v>
      </c>
      <c r="D18" s="34">
        <v>1875</v>
      </c>
      <c r="E18" s="34">
        <v>3080</v>
      </c>
      <c r="F18" s="34">
        <v>258</v>
      </c>
      <c r="G18" s="34">
        <v>700</v>
      </c>
      <c r="H18" s="44">
        <v>1098</v>
      </c>
    </row>
    <row r="19" spans="1:48" x14ac:dyDescent="0.25">
      <c r="A19" s="28"/>
      <c r="B19" s="29"/>
      <c r="C19" s="30"/>
      <c r="D19" s="30"/>
      <c r="E19" s="30"/>
      <c r="F19" s="30"/>
      <c r="G19" s="30"/>
      <c r="H19" s="31"/>
    </row>
    <row r="20" spans="1:48" x14ac:dyDescent="0.25">
      <c r="A20" s="32" t="s">
        <v>11</v>
      </c>
      <c r="B20" s="33">
        <v>43889.5</v>
      </c>
      <c r="C20" s="34">
        <v>488</v>
      </c>
      <c r="D20" s="34" t="s">
        <v>9</v>
      </c>
      <c r="E20" s="34">
        <v>2463</v>
      </c>
      <c r="F20" s="34">
        <v>84</v>
      </c>
      <c r="G20" s="34">
        <v>258</v>
      </c>
      <c r="H20" s="44">
        <v>1268</v>
      </c>
    </row>
    <row r="21" spans="1:48" x14ac:dyDescent="0.25">
      <c r="A21" s="2" t="s">
        <v>82</v>
      </c>
      <c r="B21" s="26">
        <v>43892.5</v>
      </c>
      <c r="C21" s="2">
        <v>479</v>
      </c>
      <c r="D21" s="2">
        <v>7000</v>
      </c>
      <c r="E21" s="2">
        <v>9850</v>
      </c>
      <c r="F21" s="2">
        <v>1478</v>
      </c>
      <c r="G21" s="2">
        <v>2650</v>
      </c>
      <c r="H21" s="2">
        <v>1528</v>
      </c>
    </row>
    <row r="22" spans="1:48" x14ac:dyDescent="0.25">
      <c r="A22" s="35" t="s">
        <v>11</v>
      </c>
      <c r="B22" s="36">
        <v>43896.5</v>
      </c>
      <c r="C22" s="37">
        <v>666</v>
      </c>
      <c r="D22" s="37">
        <v>1125</v>
      </c>
      <c r="E22" s="37">
        <v>1510</v>
      </c>
      <c r="F22" s="37">
        <v>39</v>
      </c>
      <c r="G22" s="37">
        <v>196</v>
      </c>
      <c r="H22" s="38">
        <v>1096</v>
      </c>
    </row>
    <row r="23" spans="1:48" x14ac:dyDescent="0.25">
      <c r="A23" s="39"/>
      <c r="B23" s="40"/>
      <c r="C23" s="41"/>
      <c r="D23" s="41"/>
      <c r="E23" s="41"/>
      <c r="F23" s="41"/>
      <c r="G23" s="41"/>
      <c r="H23" s="42"/>
    </row>
    <row r="24" spans="1:48" x14ac:dyDescent="0.25">
      <c r="A24" s="2" t="s">
        <v>8</v>
      </c>
      <c r="B24" s="26">
        <v>43906.5</v>
      </c>
      <c r="C24" s="2">
        <v>1019</v>
      </c>
      <c r="D24" s="2">
        <v>2500</v>
      </c>
      <c r="E24" s="2">
        <v>4092</v>
      </c>
      <c r="F24" s="2">
        <v>16</v>
      </c>
      <c r="G24" s="2">
        <v>125</v>
      </c>
      <c r="H24" s="2">
        <v>2690</v>
      </c>
    </row>
    <row r="25" spans="1:48" x14ac:dyDescent="0.25">
      <c r="A25" s="28"/>
      <c r="B25" s="29"/>
      <c r="C25" s="30"/>
      <c r="D25" s="30"/>
      <c r="E25" s="30"/>
      <c r="F25" s="30"/>
      <c r="G25" s="30"/>
      <c r="H25" s="31"/>
    </row>
    <row r="26" spans="1:48" x14ac:dyDescent="0.25">
      <c r="A26" s="32" t="s">
        <v>11</v>
      </c>
      <c r="B26" s="33">
        <v>43910.333333333336</v>
      </c>
      <c r="C26" s="34">
        <v>824</v>
      </c>
      <c r="D26" s="34">
        <v>1500</v>
      </c>
      <c r="E26" s="34">
        <v>2137</v>
      </c>
      <c r="F26" s="34">
        <v>37</v>
      </c>
      <c r="G26" s="34">
        <v>360</v>
      </c>
      <c r="H26" s="44">
        <v>1132</v>
      </c>
    </row>
    <row r="27" spans="1:48" x14ac:dyDescent="0.25">
      <c r="A27" s="54" t="s">
        <v>13</v>
      </c>
      <c r="B27" s="55">
        <v>43908.333333333336</v>
      </c>
      <c r="C27" s="54">
        <v>105</v>
      </c>
      <c r="D27" s="54">
        <v>250</v>
      </c>
      <c r="E27" s="54">
        <v>781</v>
      </c>
      <c r="F27" s="54">
        <v>2</v>
      </c>
      <c r="G27" s="54">
        <v>56</v>
      </c>
      <c r="H27" s="54">
        <v>676</v>
      </c>
    </row>
    <row r="28" spans="1:48" x14ac:dyDescent="0.25">
      <c r="A28" s="54" t="s">
        <v>14</v>
      </c>
      <c r="B28" s="55">
        <v>43908.333333333336</v>
      </c>
      <c r="C28" s="54">
        <v>124</v>
      </c>
      <c r="D28" s="54" t="s">
        <v>9</v>
      </c>
      <c r="E28" s="54">
        <v>282</v>
      </c>
      <c r="F28" s="54">
        <v>23</v>
      </c>
      <c r="G28" s="54">
        <v>48</v>
      </c>
      <c r="H28" s="54">
        <v>404</v>
      </c>
    </row>
    <row r="32" spans="1:48" x14ac:dyDescent="0.25">
      <c r="F32" t="s">
        <v>112</v>
      </c>
      <c r="P32" t="s">
        <v>129</v>
      </c>
      <c r="V32" s="82" t="s">
        <v>132</v>
      </c>
      <c r="W32" s="82"/>
      <c r="X32" s="82"/>
      <c r="Y32" s="82"/>
      <c r="AF32" t="s">
        <v>57</v>
      </c>
      <c r="AV32" t="s">
        <v>141</v>
      </c>
    </row>
    <row r="33" spans="2:69" x14ac:dyDescent="0.25">
      <c r="C33" t="s">
        <v>112</v>
      </c>
      <c r="E33" s="74" t="s">
        <v>92</v>
      </c>
      <c r="F33" s="74" t="s">
        <v>107</v>
      </c>
      <c r="G33" s="74" t="s">
        <v>128</v>
      </c>
      <c r="H33" s="74" t="s">
        <v>127</v>
      </c>
      <c r="I33" s="74" t="s">
        <v>131</v>
      </c>
      <c r="N33" s="74" t="s">
        <v>92</v>
      </c>
      <c r="O33" s="74" t="s">
        <v>130</v>
      </c>
      <c r="P33" s="74" t="s">
        <v>128</v>
      </c>
      <c r="Q33" s="74" t="s">
        <v>127</v>
      </c>
      <c r="S33" s="82"/>
      <c r="T33" s="84" t="s">
        <v>92</v>
      </c>
      <c r="U33" s="74" t="s">
        <v>137</v>
      </c>
      <c r="V33" s="84" t="s">
        <v>136</v>
      </c>
      <c r="W33" s="75" t="s">
        <v>133</v>
      </c>
      <c r="X33" s="74" t="s">
        <v>134</v>
      </c>
      <c r="Y33" t="s">
        <v>135</v>
      </c>
      <c r="Z33" s="75" t="s">
        <v>134</v>
      </c>
      <c r="AB33" s="84" t="s">
        <v>135</v>
      </c>
      <c r="AC33" s="82"/>
      <c r="AE33" s="74" t="s">
        <v>92</v>
      </c>
      <c r="AF33" s="74" t="s">
        <v>137</v>
      </c>
      <c r="AG33" s="74" t="s">
        <v>138</v>
      </c>
      <c r="AH33" s="74" t="s">
        <v>139</v>
      </c>
      <c r="AI33" s="74"/>
      <c r="AU33" s="75" t="s">
        <v>92</v>
      </c>
      <c r="AV33" s="75" t="s">
        <v>48</v>
      </c>
      <c r="AW33" s="75" t="s">
        <v>140</v>
      </c>
      <c r="BB33" s="74" t="s">
        <v>92</v>
      </c>
      <c r="BC33" s="74" t="s">
        <v>142</v>
      </c>
      <c r="BD33" s="74" t="s">
        <v>2</v>
      </c>
      <c r="BE33" s="74" t="s">
        <v>143</v>
      </c>
    </row>
    <row r="34" spans="2:69" x14ac:dyDescent="0.25">
      <c r="B34" s="58" t="s">
        <v>113</v>
      </c>
      <c r="C34" t="s">
        <v>107</v>
      </c>
      <c r="E34">
        <v>1</v>
      </c>
      <c r="F34">
        <v>79.24822623660242</v>
      </c>
      <c r="G34" s="37">
        <v>1031</v>
      </c>
      <c r="H34" s="43">
        <v>4968.25</v>
      </c>
      <c r="I34">
        <f>G34/106</f>
        <v>9.7264150943396235</v>
      </c>
      <c r="N34">
        <v>1</v>
      </c>
      <c r="O34">
        <v>92.222222222222229</v>
      </c>
      <c r="P34" s="37">
        <v>56</v>
      </c>
      <c r="Q34">
        <v>720</v>
      </c>
      <c r="S34" s="82"/>
      <c r="T34" s="82">
        <v>1</v>
      </c>
      <c r="U34">
        <v>79.24822623660242</v>
      </c>
      <c r="V34" s="82">
        <f>(AB34*10.8)/2</f>
        <v>5.5674000000000001</v>
      </c>
      <c r="W34" s="82">
        <v>106</v>
      </c>
      <c r="X34" s="45">
        <v>1667</v>
      </c>
      <c r="Y34" s="82">
        <v>1.667</v>
      </c>
      <c r="Z34" s="82">
        <f>(Y34*0.0108)/0.002</f>
        <v>9.0018000000000011</v>
      </c>
      <c r="AB34" s="82">
        <f>1031/1000</f>
        <v>1.0309999999999999</v>
      </c>
      <c r="AC34" s="82"/>
      <c r="AE34">
        <v>1</v>
      </c>
      <c r="AF34">
        <v>79.24822623660242</v>
      </c>
      <c r="AG34">
        <v>1006</v>
      </c>
      <c r="AH34">
        <v>1106</v>
      </c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U34" s="67">
        <v>1</v>
      </c>
      <c r="AV34" s="67">
        <v>7.03</v>
      </c>
      <c r="AW34" s="67">
        <v>37.299999999999997</v>
      </c>
      <c r="BB34">
        <v>1</v>
      </c>
      <c r="BC34">
        <f>BE34/BD34</f>
        <v>0.18022657054582905</v>
      </c>
      <c r="BD34">
        <v>971</v>
      </c>
      <c r="BE34">
        <v>175</v>
      </c>
    </row>
    <row r="35" spans="2:69" x14ac:dyDescent="0.25">
      <c r="B35" s="58">
        <v>7</v>
      </c>
      <c r="C35">
        <v>79.24822623660242</v>
      </c>
      <c r="G35" s="41"/>
      <c r="P35" s="41"/>
      <c r="S35" s="82"/>
      <c r="T35" s="82"/>
      <c r="V35" s="82"/>
      <c r="W35" s="82"/>
      <c r="Y35" s="82"/>
      <c r="Z35" s="82"/>
      <c r="AB35" s="82"/>
      <c r="AC35" s="82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U35" s="67"/>
      <c r="AV35" s="67"/>
      <c r="AW35" s="67"/>
    </row>
    <row r="36" spans="2:69" x14ac:dyDescent="0.25">
      <c r="B36" s="58"/>
      <c r="E36">
        <v>2</v>
      </c>
      <c r="F36">
        <v>90.942484778342475</v>
      </c>
      <c r="G36" s="37">
        <v>450</v>
      </c>
      <c r="H36" s="43">
        <v>4968.25</v>
      </c>
      <c r="I36">
        <f>G36/106</f>
        <v>4.2452830188679247</v>
      </c>
      <c r="N36">
        <v>2</v>
      </c>
      <c r="O36">
        <v>91.944444444444443</v>
      </c>
      <c r="P36" s="37">
        <v>58</v>
      </c>
      <c r="Q36">
        <v>720</v>
      </c>
      <c r="S36" s="82"/>
      <c r="T36" s="82">
        <v>2</v>
      </c>
      <c r="U36">
        <v>90.942484778342475</v>
      </c>
      <c r="V36" s="82">
        <f>(AB36*10.8)/2</f>
        <v>2.4300000000000002</v>
      </c>
      <c r="W36" s="82">
        <v>106</v>
      </c>
      <c r="X36" s="45">
        <v>1450</v>
      </c>
      <c r="Y36" s="82">
        <f>X36/1000</f>
        <v>1.45</v>
      </c>
      <c r="Z36" s="82">
        <f>(Y36*10.8)/2</f>
        <v>7.83</v>
      </c>
      <c r="AB36" s="82">
        <f>450/1000</f>
        <v>0.45</v>
      </c>
      <c r="AC36" s="82"/>
      <c r="AE36">
        <v>2</v>
      </c>
      <c r="AF36">
        <v>90.942484778342475</v>
      </c>
      <c r="AG36">
        <v>1078</v>
      </c>
      <c r="AH36">
        <v>884</v>
      </c>
      <c r="AI36" s="77"/>
      <c r="AR36" s="77"/>
      <c r="AU36" s="67">
        <v>2</v>
      </c>
      <c r="AV36" s="67">
        <v>6.9</v>
      </c>
      <c r="AW36" s="67">
        <v>37.6</v>
      </c>
      <c r="BB36">
        <v>2</v>
      </c>
      <c r="BC36">
        <f>BE36/BD36</f>
        <v>0.18</v>
      </c>
      <c r="BD36">
        <v>940</v>
      </c>
      <c r="BE36">
        <v>169.2</v>
      </c>
    </row>
    <row r="37" spans="2:69" x14ac:dyDescent="0.25">
      <c r="B37" s="58">
        <v>14</v>
      </c>
      <c r="C37">
        <v>90.942484778342475</v>
      </c>
      <c r="G37" s="41"/>
      <c r="P37" s="41"/>
      <c r="S37" s="82"/>
      <c r="T37" s="82"/>
      <c r="V37" s="82"/>
      <c r="W37" s="82"/>
      <c r="Y37" s="82"/>
      <c r="Z37" s="82"/>
      <c r="AB37" s="82"/>
      <c r="AC37" s="82"/>
      <c r="AI37" s="77"/>
      <c r="AR37" s="77"/>
      <c r="AU37" s="67"/>
      <c r="AV37" s="67"/>
      <c r="AW37" s="67"/>
      <c r="BC37" s="58"/>
    </row>
    <row r="38" spans="2:69" x14ac:dyDescent="0.25">
      <c r="B38" s="58"/>
      <c r="E38">
        <v>3</v>
      </c>
      <c r="F38">
        <v>92.794243445881335</v>
      </c>
      <c r="G38" s="37">
        <v>358</v>
      </c>
      <c r="H38" s="43">
        <v>4968.25</v>
      </c>
      <c r="I38">
        <f>G38/106</f>
        <v>3.3773584905660377</v>
      </c>
      <c r="N38">
        <v>3</v>
      </c>
      <c r="O38">
        <v>93.82352941176471</v>
      </c>
      <c r="P38" s="37">
        <v>42</v>
      </c>
      <c r="Q38">
        <v>680</v>
      </c>
      <c r="S38" s="82"/>
      <c r="T38" s="82">
        <v>3</v>
      </c>
      <c r="U38">
        <v>92.794243445881335</v>
      </c>
      <c r="V38" s="82">
        <f>(AB38*10.8)/2</f>
        <v>1.9332</v>
      </c>
      <c r="W38" s="82">
        <v>106</v>
      </c>
      <c r="X38" s="45">
        <v>881</v>
      </c>
      <c r="Y38" s="82">
        <f t="shared" ref="Y38:Y68" si="0">X38/1000</f>
        <v>0.88100000000000001</v>
      </c>
      <c r="Z38" s="82">
        <f>(Y38*10.8)/2</f>
        <v>4.7574000000000005</v>
      </c>
      <c r="AB38" s="82">
        <f>358/1000</f>
        <v>0.35799999999999998</v>
      </c>
      <c r="AC38" s="82"/>
      <c r="AE38">
        <v>3</v>
      </c>
      <c r="AF38">
        <v>92.794243445881335</v>
      </c>
      <c r="AG38">
        <v>916</v>
      </c>
      <c r="AH38">
        <v>834</v>
      </c>
      <c r="AI38" s="77"/>
      <c r="AR38" s="77"/>
      <c r="AU38" s="67">
        <v>3</v>
      </c>
      <c r="AV38" s="67">
        <v>6.6</v>
      </c>
      <c r="AW38" s="67">
        <v>37.299999999999997</v>
      </c>
      <c r="BB38">
        <v>3</v>
      </c>
      <c r="BC38" s="58">
        <f>BE38/BD38</f>
        <v>0.1</v>
      </c>
      <c r="BD38">
        <v>940</v>
      </c>
      <c r="BE38">
        <v>94</v>
      </c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2:69" x14ac:dyDescent="0.25">
      <c r="B39" s="58">
        <v>21</v>
      </c>
      <c r="C39">
        <v>92.794243445881335</v>
      </c>
      <c r="G39" s="41"/>
      <c r="P39" s="41"/>
      <c r="S39" s="82"/>
      <c r="T39" s="82"/>
      <c r="V39" s="82"/>
      <c r="W39" s="82"/>
      <c r="Y39" s="82"/>
      <c r="Z39" s="82"/>
      <c r="AB39" s="82"/>
      <c r="AC39" s="82"/>
      <c r="AI39" s="77"/>
      <c r="AR39" s="77"/>
      <c r="AU39" s="67"/>
      <c r="AV39" s="67"/>
      <c r="AW39" s="67"/>
      <c r="BC39" s="58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2:69" x14ac:dyDescent="0.25">
      <c r="B40" s="58"/>
      <c r="E40">
        <v>4</v>
      </c>
      <c r="F40">
        <v>72.344386856539018</v>
      </c>
      <c r="G40" s="37">
        <v>1374</v>
      </c>
      <c r="H40" s="43">
        <v>4968.25</v>
      </c>
      <c r="N40">
        <v>4</v>
      </c>
      <c r="O40">
        <v>98.088235294117638</v>
      </c>
      <c r="P40" s="37">
        <v>13</v>
      </c>
      <c r="Q40">
        <v>680</v>
      </c>
      <c r="S40" s="82"/>
      <c r="T40" s="82">
        <v>4</v>
      </c>
      <c r="U40">
        <v>72.344386856539018</v>
      </c>
      <c r="V40" s="82">
        <f>(AB40*10.8)/2</f>
        <v>7.4196000000000009</v>
      </c>
      <c r="W40" s="82">
        <v>106</v>
      </c>
      <c r="X40" s="45">
        <v>1754</v>
      </c>
      <c r="Y40" s="82">
        <f t="shared" si="0"/>
        <v>1.754</v>
      </c>
      <c r="Z40" s="82">
        <f>(Y40*10.8)/2</f>
        <v>9.4716000000000005</v>
      </c>
      <c r="AB40" s="82">
        <f>1374/1000</f>
        <v>1.3740000000000001</v>
      </c>
      <c r="AC40" s="82"/>
      <c r="AE40">
        <v>4</v>
      </c>
      <c r="AF40">
        <v>72.344386856539018</v>
      </c>
      <c r="AG40">
        <v>950</v>
      </c>
      <c r="AH40">
        <v>870</v>
      </c>
      <c r="AI40" s="77"/>
      <c r="AR40" s="77"/>
      <c r="AU40" s="67">
        <v>4</v>
      </c>
      <c r="AV40" s="67">
        <v>6.73</v>
      </c>
      <c r="AW40" s="67">
        <v>37.4</v>
      </c>
      <c r="BB40">
        <v>4</v>
      </c>
      <c r="BC40" s="58">
        <f>BE40/BD40</f>
        <v>0.15024630541871922</v>
      </c>
      <c r="BD40">
        <v>812</v>
      </c>
      <c r="BE40">
        <v>122</v>
      </c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2:69" x14ac:dyDescent="0.25">
      <c r="B41" s="58">
        <v>28</v>
      </c>
      <c r="C41">
        <v>72.344386856539018</v>
      </c>
      <c r="S41" s="82"/>
      <c r="T41" s="82"/>
      <c r="V41" s="82"/>
      <c r="W41" s="82"/>
      <c r="Y41" s="82"/>
      <c r="Z41" s="82"/>
      <c r="AB41" s="82"/>
      <c r="AC41" s="82"/>
      <c r="AI41" s="77"/>
      <c r="AR41" s="77"/>
      <c r="AU41" s="67"/>
      <c r="AV41" s="67"/>
      <c r="AW41" s="67"/>
      <c r="BC41" s="58"/>
      <c r="BG41" s="77"/>
      <c r="BH41" s="77"/>
      <c r="BQ41" s="77"/>
    </row>
    <row r="42" spans="2:69" x14ac:dyDescent="0.25">
      <c r="B42" s="58"/>
      <c r="E42">
        <v>5</v>
      </c>
      <c r="F42">
        <v>82.345177664974628</v>
      </c>
      <c r="G42" s="34">
        <v>1739</v>
      </c>
      <c r="H42" s="43">
        <v>9850</v>
      </c>
      <c r="N42">
        <v>5</v>
      </c>
      <c r="O42">
        <v>90.638297872340416</v>
      </c>
      <c r="P42">
        <v>88</v>
      </c>
      <c r="Q42">
        <v>940</v>
      </c>
      <c r="S42" s="82"/>
      <c r="T42" s="82">
        <v>5</v>
      </c>
      <c r="U42">
        <v>82.345177664974628</v>
      </c>
      <c r="V42" s="82">
        <f>(AB42*10.8)/2</f>
        <v>9.3906000000000009</v>
      </c>
      <c r="W42" s="82">
        <v>106</v>
      </c>
      <c r="X42" s="30">
        <v>3525</v>
      </c>
      <c r="Y42" s="82">
        <f t="shared" si="0"/>
        <v>3.5249999999999999</v>
      </c>
      <c r="Z42" s="82">
        <f>(Y42*10.8)/2</f>
        <v>19.035</v>
      </c>
      <c r="AB42" s="82">
        <f>1739/1000</f>
        <v>1.7390000000000001</v>
      </c>
      <c r="AC42" s="82"/>
      <c r="AE42">
        <v>5</v>
      </c>
      <c r="AF42">
        <v>82.345177664974628</v>
      </c>
      <c r="AG42">
        <v>1268</v>
      </c>
      <c r="AH42">
        <v>1132</v>
      </c>
      <c r="AI42" s="77"/>
      <c r="AR42" s="77"/>
      <c r="AU42" s="67">
        <v>5</v>
      </c>
      <c r="AV42" s="67">
        <v>6.59</v>
      </c>
      <c r="AW42" s="67">
        <v>37.6</v>
      </c>
      <c r="BB42">
        <v>5</v>
      </c>
      <c r="BC42" s="58">
        <f>BE42/BD42</f>
        <v>0.25</v>
      </c>
      <c r="BD42" s="34">
        <v>702</v>
      </c>
      <c r="BE42">
        <v>175.5</v>
      </c>
      <c r="BG42" s="77"/>
      <c r="BH42" s="77"/>
      <c r="BQ42" s="77"/>
    </row>
    <row r="43" spans="2:69" x14ac:dyDescent="0.25">
      <c r="B43" s="58">
        <v>35</v>
      </c>
      <c r="C43">
        <v>82.345177664974628</v>
      </c>
      <c r="G43" s="30"/>
      <c r="S43" s="82"/>
      <c r="T43" s="82"/>
      <c r="V43" s="82"/>
      <c r="W43" s="82"/>
      <c r="X43" s="34"/>
      <c r="Y43" s="82"/>
      <c r="Z43" s="82"/>
      <c r="AB43" s="82"/>
      <c r="AC43" s="82"/>
      <c r="AI43" s="77"/>
      <c r="AR43" s="77"/>
      <c r="AU43" s="67"/>
      <c r="AV43" s="67"/>
      <c r="AW43" s="67"/>
      <c r="BC43" s="58"/>
      <c r="BD43" s="30"/>
      <c r="BG43" s="77"/>
      <c r="BH43" s="77"/>
      <c r="BQ43" s="77"/>
    </row>
    <row r="44" spans="2:69" x14ac:dyDescent="0.25">
      <c r="B44" s="58"/>
      <c r="E44">
        <v>6</v>
      </c>
      <c r="F44">
        <v>68.73096446700508</v>
      </c>
      <c r="G44" s="34">
        <v>3080</v>
      </c>
      <c r="H44" s="43">
        <v>9850</v>
      </c>
      <c r="N44">
        <v>6</v>
      </c>
      <c r="O44">
        <v>79.073243647234676</v>
      </c>
      <c r="P44">
        <v>700</v>
      </c>
      <c r="Q44">
        <v>3345</v>
      </c>
      <c r="S44" s="82"/>
      <c r="T44" s="82">
        <v>6</v>
      </c>
      <c r="U44">
        <v>68.73096446700508</v>
      </c>
      <c r="V44" s="82">
        <f>(AB44*10.8)/2</f>
        <v>16.632000000000001</v>
      </c>
      <c r="W44" s="82">
        <v>106</v>
      </c>
      <c r="X44" s="30">
        <v>4946</v>
      </c>
      <c r="Y44" s="82">
        <f t="shared" si="0"/>
        <v>4.9459999999999997</v>
      </c>
      <c r="Z44" s="82">
        <f>(Y44*10.8)/2</f>
        <v>26.708400000000001</v>
      </c>
      <c r="AB44" s="82">
        <f>3080/1000</f>
        <v>3.08</v>
      </c>
      <c r="AC44" s="82"/>
      <c r="AE44">
        <v>6</v>
      </c>
      <c r="AF44">
        <v>68.73096446700508</v>
      </c>
      <c r="AG44">
        <v>1422</v>
      </c>
      <c r="AH44">
        <v>1098</v>
      </c>
      <c r="AI44" s="77"/>
      <c r="AR44" s="77"/>
      <c r="AU44" s="67">
        <v>6</v>
      </c>
      <c r="AV44" s="67">
        <v>6.6</v>
      </c>
      <c r="AW44" s="67">
        <v>37.6</v>
      </c>
      <c r="BB44">
        <v>6</v>
      </c>
      <c r="BC44" s="58">
        <f>BE44/BD44</f>
        <v>0.23</v>
      </c>
      <c r="BD44" s="34">
        <v>789</v>
      </c>
      <c r="BE44">
        <v>181.47</v>
      </c>
      <c r="BG44" s="77"/>
      <c r="BH44" s="77"/>
      <c r="BQ44" s="77"/>
    </row>
    <row r="45" spans="2:69" x14ac:dyDescent="0.25">
      <c r="B45" s="58">
        <v>42</v>
      </c>
      <c r="C45">
        <v>68.73096446700508</v>
      </c>
      <c r="G45" s="30"/>
      <c r="S45" s="82"/>
      <c r="T45" s="82"/>
      <c r="V45" s="82"/>
      <c r="W45" s="82"/>
      <c r="X45" s="34"/>
      <c r="Y45" s="82"/>
      <c r="Z45" s="82"/>
      <c r="AB45" s="82"/>
      <c r="AC45" s="82"/>
      <c r="AI45" s="77"/>
      <c r="AR45" s="77"/>
      <c r="AU45" s="67"/>
      <c r="AV45" s="67"/>
      <c r="AW45" s="67"/>
      <c r="BC45" s="58"/>
      <c r="BG45" s="77"/>
      <c r="BH45" s="77"/>
      <c r="BQ45" s="77"/>
    </row>
    <row r="46" spans="2:69" x14ac:dyDescent="0.25">
      <c r="B46" s="58"/>
      <c r="E46">
        <v>7</v>
      </c>
      <c r="F46">
        <v>74.994923857868017</v>
      </c>
      <c r="G46" s="34">
        <v>2463</v>
      </c>
      <c r="H46" s="43">
        <v>9850</v>
      </c>
      <c r="N46">
        <v>7</v>
      </c>
      <c r="O46">
        <v>92.286995515695068</v>
      </c>
      <c r="P46">
        <v>258</v>
      </c>
      <c r="Q46">
        <v>3345</v>
      </c>
      <c r="S46" s="82"/>
      <c r="T46" s="82">
        <v>7</v>
      </c>
      <c r="U46">
        <v>74.994923857868017</v>
      </c>
      <c r="V46" s="82">
        <f>(AB46*10.8)/2</f>
        <v>13.300200000000002</v>
      </c>
      <c r="W46" s="82">
        <v>106</v>
      </c>
      <c r="X46" s="30">
        <v>3096</v>
      </c>
      <c r="Y46" s="82">
        <f t="shared" si="0"/>
        <v>3.0960000000000001</v>
      </c>
      <c r="Z46" s="82">
        <f>(Y46*10.8)/2</f>
        <v>16.718400000000003</v>
      </c>
      <c r="AB46" s="82">
        <f>2463/1000</f>
        <v>2.4630000000000001</v>
      </c>
      <c r="AC46" s="82"/>
      <c r="AE46">
        <v>7</v>
      </c>
      <c r="AF46">
        <v>74.994923857868017</v>
      </c>
      <c r="AG46">
        <v>1340</v>
      </c>
      <c r="AH46">
        <v>1268</v>
      </c>
      <c r="AI46" s="77"/>
      <c r="AR46" s="77"/>
      <c r="AU46" s="67">
        <v>7</v>
      </c>
      <c r="AV46" s="67">
        <v>6.87</v>
      </c>
      <c r="AW46" s="67">
        <v>37.9</v>
      </c>
      <c r="BB46">
        <v>7</v>
      </c>
      <c r="BC46" s="58">
        <f>BE46/BD46</f>
        <v>0.12000000000000001</v>
      </c>
      <c r="BD46" s="30">
        <v>773</v>
      </c>
      <c r="BE46">
        <v>92.76</v>
      </c>
      <c r="BG46" s="77"/>
      <c r="BH46" s="77"/>
      <c r="BQ46" s="77"/>
    </row>
    <row r="47" spans="2:69" x14ac:dyDescent="0.25">
      <c r="B47" s="58">
        <v>49</v>
      </c>
      <c r="C47">
        <v>74.994923857868017</v>
      </c>
      <c r="S47" s="82"/>
      <c r="T47" s="82"/>
      <c r="V47" s="82"/>
      <c r="W47" s="82"/>
      <c r="X47" s="82"/>
      <c r="Y47" s="82"/>
      <c r="Z47" s="82"/>
      <c r="AB47" s="82"/>
      <c r="AC47" s="82"/>
      <c r="AI47" s="77"/>
      <c r="AR47" s="77"/>
      <c r="AU47" s="67"/>
      <c r="AV47" s="67"/>
      <c r="AW47" s="67"/>
      <c r="BC47" s="58"/>
      <c r="BG47" s="77"/>
      <c r="BH47" s="77"/>
      <c r="BQ47" s="77"/>
    </row>
    <row r="48" spans="2:69" x14ac:dyDescent="0.25">
      <c r="B48" s="58"/>
      <c r="E48">
        <v>8</v>
      </c>
      <c r="F48">
        <v>84.670050761421322</v>
      </c>
      <c r="G48" s="37">
        <v>1510</v>
      </c>
      <c r="H48" s="43">
        <v>9850</v>
      </c>
      <c r="N48">
        <v>8</v>
      </c>
      <c r="O48">
        <v>83.290707587382784</v>
      </c>
      <c r="P48">
        <v>196</v>
      </c>
      <c r="Q48">
        <v>1173</v>
      </c>
      <c r="S48" s="82"/>
      <c r="T48" s="82">
        <v>8</v>
      </c>
      <c r="U48">
        <v>84.670050761421322</v>
      </c>
      <c r="V48" s="82">
        <f>(AB48*10.8)/2</f>
        <v>8.1539999999999999</v>
      </c>
      <c r="W48" s="82">
        <v>106</v>
      </c>
      <c r="X48" s="45">
        <v>2385</v>
      </c>
      <c r="Y48" s="82">
        <f t="shared" si="0"/>
        <v>2.3849999999999998</v>
      </c>
      <c r="Z48" s="82">
        <f>(Y48*10.8)/2</f>
        <v>12.879</v>
      </c>
      <c r="AB48" s="82">
        <f>1510/1000</f>
        <v>1.51</v>
      </c>
      <c r="AC48" s="82"/>
      <c r="AE48">
        <v>8</v>
      </c>
      <c r="AF48">
        <v>84.670050761421322</v>
      </c>
      <c r="AG48" s="82">
        <v>1212</v>
      </c>
      <c r="AH48" s="82">
        <v>1096</v>
      </c>
      <c r="AI48" s="77"/>
      <c r="AR48" s="77"/>
      <c r="AU48" s="67">
        <v>8</v>
      </c>
      <c r="AV48" s="67">
        <v>6.64</v>
      </c>
      <c r="AW48" s="67">
        <v>37.6</v>
      </c>
      <c r="BB48">
        <v>8</v>
      </c>
      <c r="BC48" s="58">
        <f>BE48/BD48</f>
        <v>0.19999999999999998</v>
      </c>
      <c r="BD48">
        <v>801</v>
      </c>
      <c r="BE48">
        <v>160.19999999999999</v>
      </c>
      <c r="BG48" s="77"/>
      <c r="BH48" s="77"/>
      <c r="BQ48" s="77"/>
    </row>
    <row r="49" spans="2:69" x14ac:dyDescent="0.25">
      <c r="B49" s="58">
        <v>56</v>
      </c>
      <c r="C49">
        <v>84.670050761421322</v>
      </c>
      <c r="S49" s="82"/>
      <c r="T49" s="82"/>
      <c r="V49" s="82"/>
      <c r="W49" s="82"/>
      <c r="X49" s="82"/>
      <c r="Y49" s="82"/>
      <c r="Z49" s="82"/>
      <c r="AB49" s="82"/>
      <c r="AC49" s="82"/>
      <c r="AG49" s="82"/>
      <c r="AH49" s="82"/>
      <c r="AI49" s="77"/>
      <c r="AR49" s="77"/>
      <c r="AU49" s="67"/>
      <c r="AV49" s="67"/>
      <c r="AW49" s="67"/>
      <c r="BC49" s="58"/>
      <c r="BG49" s="77"/>
      <c r="BH49" s="77"/>
      <c r="BQ49" s="77"/>
    </row>
    <row r="50" spans="2:69" x14ac:dyDescent="0.25">
      <c r="B50" s="58"/>
      <c r="E50">
        <v>9</v>
      </c>
      <c r="F50">
        <v>78.304568527918789</v>
      </c>
      <c r="G50" s="34">
        <v>2137</v>
      </c>
      <c r="H50" s="43">
        <v>9850</v>
      </c>
      <c r="N50">
        <v>9</v>
      </c>
      <c r="O50">
        <v>89.237668161434982</v>
      </c>
      <c r="P50">
        <v>360</v>
      </c>
      <c r="Q50">
        <v>3345</v>
      </c>
      <c r="S50" s="82"/>
      <c r="T50" s="82">
        <v>9</v>
      </c>
      <c r="U50">
        <v>78.304568527918789</v>
      </c>
      <c r="V50" s="82">
        <f>(AB50*10.8)/2</f>
        <v>11.539800000000001</v>
      </c>
      <c r="W50" s="82">
        <v>106</v>
      </c>
      <c r="X50" s="45">
        <v>2324</v>
      </c>
      <c r="Y50" s="82">
        <f t="shared" si="0"/>
        <v>2.3239999999999998</v>
      </c>
      <c r="Z50" s="82">
        <f>(Y50*10.8)/2</f>
        <v>12.5496</v>
      </c>
      <c r="AB50" s="82">
        <f>2137/1000</f>
        <v>2.137</v>
      </c>
      <c r="AC50" s="82"/>
      <c r="AE50">
        <v>9</v>
      </c>
      <c r="AF50">
        <v>78.304568527918789</v>
      </c>
      <c r="AG50" s="82">
        <v>1156</v>
      </c>
      <c r="AH50" s="82">
        <v>1132</v>
      </c>
      <c r="AI50" s="77"/>
      <c r="AR50" s="77"/>
      <c r="AU50" s="67">
        <v>9</v>
      </c>
      <c r="AV50" s="67">
        <v>6.81</v>
      </c>
      <c r="AW50" s="67">
        <v>37.4</v>
      </c>
      <c r="BB50">
        <v>9</v>
      </c>
      <c r="BC50" s="58">
        <f>BE50/BD50</f>
        <v>0.18999999999999997</v>
      </c>
      <c r="BD50">
        <v>993</v>
      </c>
      <c r="BE50">
        <v>188.67</v>
      </c>
      <c r="BG50" s="77"/>
      <c r="BH50" s="77"/>
      <c r="BQ50" s="77"/>
    </row>
    <row r="51" spans="2:69" x14ac:dyDescent="0.25">
      <c r="B51" s="58">
        <v>63</v>
      </c>
      <c r="C51">
        <v>78.304568527918789</v>
      </c>
      <c r="G51" s="82"/>
      <c r="H51" s="82"/>
      <c r="I51" s="77"/>
      <c r="J51" s="77"/>
      <c r="K51" s="77"/>
      <c r="L51" s="77"/>
      <c r="M51" s="82"/>
      <c r="S51" s="82"/>
      <c r="T51" s="82"/>
      <c r="V51" s="82"/>
      <c r="W51" s="82"/>
      <c r="X51" s="82"/>
      <c r="Y51" s="82"/>
      <c r="Z51" s="82"/>
      <c r="AB51" s="82"/>
      <c r="AC51" s="82"/>
      <c r="AI51" s="77"/>
      <c r="AR51" s="77"/>
      <c r="AU51" s="67"/>
      <c r="AV51" s="67"/>
      <c r="AW51" s="67"/>
      <c r="BC51" s="58"/>
      <c r="BG51" s="77"/>
      <c r="BH51" s="77"/>
      <c r="BQ51" s="77"/>
    </row>
    <row r="52" spans="2:69" x14ac:dyDescent="0.25">
      <c r="B52" s="58"/>
      <c r="E52">
        <v>10</v>
      </c>
      <c r="F52">
        <v>84.294416243654823</v>
      </c>
      <c r="G52" s="37">
        <v>1547</v>
      </c>
      <c r="H52" s="43">
        <v>9850</v>
      </c>
      <c r="I52" s="77"/>
      <c r="J52" s="77"/>
      <c r="K52" s="77"/>
      <c r="L52" s="77"/>
      <c r="M52" s="82"/>
      <c r="N52">
        <v>10</v>
      </c>
      <c r="O52">
        <v>87.982062780269061</v>
      </c>
      <c r="P52">
        <v>402</v>
      </c>
      <c r="Q52">
        <v>3345</v>
      </c>
      <c r="S52" s="82"/>
      <c r="T52" s="82">
        <v>10</v>
      </c>
      <c r="U52">
        <v>84.294416243654823</v>
      </c>
      <c r="V52" s="82">
        <f>(AB52*10.8)/2</f>
        <v>8.3537999999999997</v>
      </c>
      <c r="W52" s="82">
        <v>106</v>
      </c>
      <c r="X52" s="45">
        <v>2015</v>
      </c>
      <c r="Y52" s="82">
        <f t="shared" si="0"/>
        <v>2.0150000000000001</v>
      </c>
      <c r="Z52" s="82">
        <f>(Y52*10.8)/2</f>
        <v>10.881000000000002</v>
      </c>
      <c r="AB52" s="82">
        <f>1547/1000</f>
        <v>1.5469999999999999</v>
      </c>
      <c r="AC52" s="82"/>
      <c r="AD52" s="82"/>
      <c r="AE52" s="82">
        <v>10</v>
      </c>
      <c r="AF52" s="82">
        <v>84.294416243654823</v>
      </c>
      <c r="AG52" s="82">
        <v>1054</v>
      </c>
      <c r="AH52" s="82">
        <v>809</v>
      </c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U52" s="67">
        <v>10</v>
      </c>
      <c r="AV52" s="67">
        <v>6.78</v>
      </c>
      <c r="AW52" s="67">
        <v>37.799999999999997</v>
      </c>
      <c r="BB52">
        <v>10</v>
      </c>
      <c r="BC52" s="58">
        <f>BE52/BD52</f>
        <v>0.19</v>
      </c>
      <c r="BD52">
        <v>824</v>
      </c>
      <c r="BE52">
        <v>156.56</v>
      </c>
      <c r="BG52" s="77"/>
      <c r="BH52" s="77"/>
      <c r="BQ52" s="77"/>
    </row>
    <row r="53" spans="2:69" x14ac:dyDescent="0.25">
      <c r="B53" s="58">
        <v>70</v>
      </c>
      <c r="C53">
        <v>84.294416243654823</v>
      </c>
      <c r="G53" s="82"/>
      <c r="H53" s="82"/>
      <c r="M53" s="82"/>
      <c r="S53" s="82"/>
      <c r="T53" s="82"/>
      <c r="V53" s="82"/>
      <c r="W53" s="82"/>
      <c r="X53" s="82"/>
      <c r="Y53" s="82"/>
      <c r="Z53" s="82"/>
      <c r="AB53" s="82"/>
      <c r="AC53" s="82"/>
      <c r="AD53" s="82"/>
      <c r="AE53" s="82"/>
      <c r="AF53" s="82"/>
      <c r="AG53" s="82"/>
      <c r="AH53" s="82"/>
      <c r="AI53" s="82"/>
      <c r="AJ53" s="77"/>
      <c r="AK53" s="77"/>
      <c r="AL53" s="77"/>
      <c r="AM53" s="77"/>
      <c r="AN53" s="77"/>
      <c r="AO53" s="77"/>
      <c r="AP53" s="77"/>
      <c r="AQ53" s="77"/>
      <c r="AR53" s="77"/>
      <c r="AU53" s="67"/>
      <c r="AV53" s="67"/>
      <c r="AW53" s="67"/>
      <c r="BC53" s="58"/>
      <c r="BG53" s="77"/>
      <c r="BH53" s="77"/>
      <c r="BQ53" s="77"/>
    </row>
    <row r="54" spans="2:69" x14ac:dyDescent="0.25">
      <c r="B54" s="58"/>
      <c r="E54">
        <v>11</v>
      </c>
      <c r="F54">
        <v>83.370558375634516</v>
      </c>
      <c r="G54" s="34">
        <v>1638</v>
      </c>
      <c r="H54" s="43">
        <v>9850</v>
      </c>
      <c r="M54" s="82"/>
      <c r="N54">
        <v>11</v>
      </c>
      <c r="O54">
        <v>71.717171717171709</v>
      </c>
      <c r="P54">
        <v>56</v>
      </c>
      <c r="Q54">
        <v>198</v>
      </c>
      <c r="S54" s="82"/>
      <c r="T54" s="82">
        <v>11</v>
      </c>
      <c r="U54">
        <v>83.370558375634516</v>
      </c>
      <c r="V54" s="82">
        <f>(AB54*10.8)/2</f>
        <v>8.8452000000000002</v>
      </c>
      <c r="W54" s="82">
        <v>106</v>
      </c>
      <c r="X54" s="45">
        <v>3080</v>
      </c>
      <c r="Y54" s="82">
        <f t="shared" si="0"/>
        <v>3.08</v>
      </c>
      <c r="Z54" s="82">
        <f>(Y54*10.8)/2</f>
        <v>16.632000000000001</v>
      </c>
      <c r="AB54" s="82">
        <v>1.6379999999999999</v>
      </c>
      <c r="AC54" s="82"/>
      <c r="AD54" s="82"/>
      <c r="AE54" s="82">
        <v>11</v>
      </c>
      <c r="AF54" s="82">
        <v>83.370558375634516</v>
      </c>
      <c r="AG54" s="82">
        <v>730</v>
      </c>
      <c r="AH54" s="82">
        <v>698</v>
      </c>
      <c r="AI54" s="82"/>
      <c r="AJ54" s="82"/>
      <c r="AK54" s="82"/>
      <c r="AL54" s="82"/>
      <c r="AU54" s="67">
        <v>11</v>
      </c>
      <c r="AV54" s="67">
        <v>7.01</v>
      </c>
      <c r="AW54" s="67">
        <v>37.700000000000003</v>
      </c>
      <c r="BB54">
        <v>11</v>
      </c>
      <c r="BC54" s="58">
        <f>BE54/BD54</f>
        <v>0.22</v>
      </c>
      <c r="BD54">
        <v>944</v>
      </c>
      <c r="BE54">
        <v>207.68</v>
      </c>
      <c r="BG54" s="77"/>
      <c r="BH54" s="77"/>
      <c r="BQ54" s="77"/>
    </row>
    <row r="55" spans="2:69" x14ac:dyDescent="0.25">
      <c r="B55" s="58">
        <v>77</v>
      </c>
      <c r="C55">
        <v>83.370558375634516</v>
      </c>
      <c r="G55" s="82"/>
      <c r="H55" s="82"/>
      <c r="M55" s="82"/>
      <c r="S55" s="82"/>
      <c r="T55" s="82"/>
      <c r="V55" s="82"/>
      <c r="W55" s="82"/>
      <c r="X55" s="82"/>
      <c r="Y55" s="82"/>
      <c r="Z55" s="82"/>
      <c r="AB55" s="82"/>
      <c r="AC55" s="82"/>
      <c r="AD55" s="82"/>
      <c r="AE55" s="82"/>
      <c r="AF55" s="82"/>
      <c r="AI55" s="82"/>
      <c r="AJ55" s="82"/>
      <c r="AK55" s="82"/>
      <c r="AL55" s="82"/>
      <c r="AU55" s="67"/>
      <c r="AV55" s="67"/>
      <c r="AW55" s="67"/>
      <c r="BC55" s="58"/>
      <c r="BG55" s="77"/>
      <c r="BH55" s="77"/>
      <c r="BQ55" s="77"/>
    </row>
    <row r="56" spans="2:69" x14ac:dyDescent="0.25">
      <c r="B56" s="58"/>
      <c r="E56">
        <v>12</v>
      </c>
      <c r="F56">
        <v>88.081218274111677</v>
      </c>
      <c r="G56" s="34">
        <v>1174</v>
      </c>
      <c r="H56" s="43">
        <v>9850</v>
      </c>
      <c r="M56" s="82"/>
      <c r="N56">
        <v>12</v>
      </c>
      <c r="O56">
        <v>95.156950672645735</v>
      </c>
      <c r="P56">
        <v>162</v>
      </c>
      <c r="Q56">
        <v>3345</v>
      </c>
      <c r="S56" s="82"/>
      <c r="T56" s="82">
        <v>12</v>
      </c>
      <c r="U56">
        <v>88.081218274111677</v>
      </c>
      <c r="V56" s="82">
        <f>(AB56*10.8)/2</f>
        <v>6.3395999999999999</v>
      </c>
      <c r="W56" s="82">
        <v>106</v>
      </c>
      <c r="X56" s="45">
        <v>3613</v>
      </c>
      <c r="Y56" s="82">
        <f t="shared" si="0"/>
        <v>3.613</v>
      </c>
      <c r="Z56" s="82">
        <f>(Y56*10.8)/2</f>
        <v>19.510200000000001</v>
      </c>
      <c r="AB56" s="82">
        <v>1.1739999999999999</v>
      </c>
      <c r="AC56" s="82"/>
      <c r="AD56" s="82"/>
      <c r="AE56" s="82">
        <v>12</v>
      </c>
      <c r="AF56" s="82">
        <v>88.081218274111677</v>
      </c>
      <c r="AG56" s="82">
        <v>1226</v>
      </c>
      <c r="AH56" s="82">
        <v>1140</v>
      </c>
      <c r="AI56" s="82"/>
      <c r="AJ56" s="82"/>
      <c r="AK56" s="82"/>
      <c r="AL56" s="82"/>
      <c r="AU56" s="67">
        <v>12</v>
      </c>
      <c r="AV56" s="67">
        <v>6.98</v>
      </c>
      <c r="AW56" s="67">
        <v>37.4</v>
      </c>
      <c r="BB56">
        <v>12</v>
      </c>
      <c r="BC56" s="58">
        <f>BE56/BD56</f>
        <v>0.17</v>
      </c>
      <c r="BD56">
        <v>911</v>
      </c>
      <c r="BE56">
        <v>154.87</v>
      </c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</row>
    <row r="57" spans="2:69" x14ac:dyDescent="0.25">
      <c r="B57" s="58">
        <v>84</v>
      </c>
      <c r="C57">
        <v>88.081218274111677</v>
      </c>
      <c r="G57" s="82"/>
      <c r="H57" s="82"/>
      <c r="M57" s="82"/>
      <c r="W57" s="82"/>
      <c r="Y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U57" s="67"/>
      <c r="AV57" s="67"/>
      <c r="AW57" s="67"/>
      <c r="BC57" s="58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</row>
    <row r="58" spans="2:69" x14ac:dyDescent="0.25">
      <c r="B58" s="58"/>
      <c r="E58">
        <v>13</v>
      </c>
      <c r="F58">
        <v>92.862944162436548</v>
      </c>
      <c r="G58" s="82">
        <v>703</v>
      </c>
      <c r="H58" s="43">
        <v>9850</v>
      </c>
      <c r="M58" s="82"/>
      <c r="N58">
        <v>13</v>
      </c>
      <c r="O58">
        <v>94.020926756352765</v>
      </c>
      <c r="P58">
        <v>200</v>
      </c>
      <c r="Q58">
        <v>3345</v>
      </c>
      <c r="T58">
        <v>13</v>
      </c>
      <c r="U58">
        <v>92.862944162436548</v>
      </c>
      <c r="V58">
        <f>(AB58*10.8)/2</f>
        <v>3.7962000000000002</v>
      </c>
      <c r="W58" s="82">
        <v>106</v>
      </c>
      <c r="X58" s="45">
        <v>1843</v>
      </c>
      <c r="Y58" s="82">
        <f t="shared" si="0"/>
        <v>1.843</v>
      </c>
      <c r="Z58">
        <f>(Y58*10.8)/2</f>
        <v>9.9522000000000013</v>
      </c>
      <c r="AB58">
        <f>703/1000</f>
        <v>0.70299999999999996</v>
      </c>
      <c r="AC58" s="82"/>
      <c r="AD58" s="82"/>
      <c r="AE58" s="82">
        <v>13</v>
      </c>
      <c r="AF58" s="82">
        <v>92.862944162436548</v>
      </c>
      <c r="AG58" s="82">
        <v>982</v>
      </c>
      <c r="AH58" s="82">
        <v>511</v>
      </c>
      <c r="AI58" s="82"/>
      <c r="AJ58" s="82"/>
      <c r="AK58" s="82"/>
      <c r="AL58" s="82"/>
      <c r="AU58" s="67">
        <v>13</v>
      </c>
      <c r="AV58" s="85">
        <v>6.98</v>
      </c>
      <c r="AW58" s="67">
        <v>37.4</v>
      </c>
      <c r="BB58">
        <v>13</v>
      </c>
      <c r="BC58" s="58">
        <f>BE58/BD58</f>
        <v>0.24000000000000002</v>
      </c>
      <c r="BD58">
        <v>857</v>
      </c>
      <c r="BE58">
        <v>205.68</v>
      </c>
      <c r="BH58" s="77"/>
      <c r="BI58" s="77"/>
      <c r="BJ58" s="77"/>
      <c r="BK58" s="77"/>
      <c r="BL58" s="77"/>
      <c r="BM58" s="77"/>
      <c r="BN58" s="77"/>
      <c r="BO58" s="77"/>
      <c r="BP58" s="77"/>
      <c r="BQ58" s="77"/>
    </row>
    <row r="59" spans="2:69" x14ac:dyDescent="0.25">
      <c r="B59" s="58">
        <v>91</v>
      </c>
      <c r="C59">
        <v>92.862944162436548</v>
      </c>
      <c r="G59" s="82"/>
      <c r="H59" s="82"/>
      <c r="M59" s="82"/>
      <c r="W59" s="82"/>
      <c r="Y59" s="82"/>
      <c r="AC59" s="82"/>
      <c r="AD59" s="82"/>
      <c r="AE59" s="82"/>
      <c r="AF59" s="82"/>
      <c r="AI59" s="82"/>
      <c r="AJ59" s="82"/>
      <c r="AK59" s="82"/>
      <c r="AL59" s="82"/>
      <c r="AU59" s="67"/>
      <c r="AV59" s="67"/>
      <c r="AW59" s="67"/>
      <c r="BC59" s="58"/>
    </row>
    <row r="60" spans="2:69" x14ac:dyDescent="0.25">
      <c r="B60" s="58"/>
      <c r="E60">
        <v>14</v>
      </c>
      <c r="G60" s="82"/>
      <c r="H60" s="82"/>
      <c r="M60" s="82"/>
      <c r="N60">
        <v>14</v>
      </c>
      <c r="T60">
        <v>14</v>
      </c>
      <c r="W60" s="82">
        <v>106</v>
      </c>
      <c r="Y60" s="82"/>
      <c r="AC60" s="82"/>
      <c r="AD60" s="82"/>
      <c r="AE60" s="82">
        <v>14</v>
      </c>
      <c r="AF60" s="82"/>
      <c r="AI60" s="82"/>
      <c r="AJ60" s="82"/>
      <c r="AK60" s="82"/>
      <c r="AL60" s="82"/>
      <c r="AU60" s="67">
        <v>14</v>
      </c>
      <c r="AV60" s="67"/>
      <c r="AW60" s="67"/>
      <c r="BB60">
        <v>14</v>
      </c>
      <c r="BC60" s="58"/>
    </row>
    <row r="61" spans="2:69" x14ac:dyDescent="0.25">
      <c r="B61" s="58">
        <v>98</v>
      </c>
      <c r="G61" s="82"/>
      <c r="H61" s="82"/>
      <c r="M61" s="82"/>
      <c r="W61" s="82"/>
      <c r="Y61" s="82"/>
      <c r="AC61" s="82"/>
      <c r="AD61" s="82"/>
      <c r="AE61" s="82"/>
      <c r="AF61" s="82"/>
      <c r="AI61" s="82"/>
      <c r="AJ61" s="82"/>
      <c r="AK61" s="82"/>
      <c r="AL61" s="82"/>
      <c r="AU61" s="67"/>
      <c r="AV61" s="67"/>
      <c r="AW61" s="67"/>
      <c r="BC61" s="58"/>
    </row>
    <row r="62" spans="2:69" x14ac:dyDescent="0.25">
      <c r="B62" s="58"/>
      <c r="E62">
        <v>15</v>
      </c>
      <c r="F62">
        <v>88.060913705583758</v>
      </c>
      <c r="G62" s="65">
        <v>17</v>
      </c>
      <c r="H62" s="43">
        <v>9850</v>
      </c>
      <c r="M62" s="82"/>
      <c r="N62">
        <v>15</v>
      </c>
      <c r="O62">
        <v>95.575485799701042</v>
      </c>
      <c r="P62">
        <v>184</v>
      </c>
      <c r="Q62">
        <v>3345</v>
      </c>
      <c r="T62">
        <v>15</v>
      </c>
      <c r="U62">
        <v>88.060913705583758</v>
      </c>
      <c r="V62">
        <f>(AB62*10.8)/2</f>
        <v>9.1800000000000007E-2</v>
      </c>
      <c r="W62" s="82">
        <v>106</v>
      </c>
      <c r="X62" s="45">
        <v>1228</v>
      </c>
      <c r="Y62" s="82">
        <f t="shared" si="0"/>
        <v>1.228</v>
      </c>
      <c r="Z62">
        <f>(Y62*10.8)/2</f>
        <v>6.6312000000000006</v>
      </c>
      <c r="AB62">
        <f>17/1000</f>
        <v>1.7000000000000001E-2</v>
      </c>
      <c r="AC62" s="82"/>
      <c r="AD62" s="82"/>
      <c r="AE62" s="82">
        <v>15</v>
      </c>
      <c r="AF62" s="82">
        <v>88.060913705583758</v>
      </c>
      <c r="AG62" s="82">
        <v>956</v>
      </c>
      <c r="AH62" s="82">
        <v>858</v>
      </c>
      <c r="AI62" s="82"/>
      <c r="AJ62" s="82"/>
      <c r="AK62" s="82"/>
      <c r="AL62" s="82"/>
      <c r="AU62" s="67">
        <v>15</v>
      </c>
      <c r="AV62" s="67">
        <v>6.67</v>
      </c>
      <c r="AW62" s="67">
        <v>37.9</v>
      </c>
      <c r="BB62">
        <v>15</v>
      </c>
      <c r="BC62" s="58">
        <f>BE62/BD62</f>
        <v>0.17</v>
      </c>
      <c r="BD62" s="65">
        <v>965</v>
      </c>
      <c r="BE62">
        <v>164.05</v>
      </c>
    </row>
    <row r="63" spans="2:69" x14ac:dyDescent="0.25">
      <c r="B63" s="58">
        <v>105</v>
      </c>
      <c r="C63">
        <v>88.060913705583758</v>
      </c>
      <c r="G63" s="62"/>
      <c r="H63" s="82"/>
      <c r="M63" s="82"/>
      <c r="Q63" s="58"/>
      <c r="W63" s="82"/>
      <c r="Y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U63" s="67"/>
      <c r="AV63" s="67"/>
      <c r="AW63" s="67"/>
      <c r="BC63" s="58"/>
    </row>
    <row r="64" spans="2:69" x14ac:dyDescent="0.25">
      <c r="B64" s="58"/>
      <c r="E64">
        <v>16</v>
      </c>
      <c r="F64">
        <v>89.898477157360404</v>
      </c>
      <c r="G64" s="65">
        <v>56</v>
      </c>
      <c r="H64" s="43">
        <v>9850</v>
      </c>
      <c r="M64" s="82"/>
      <c r="N64">
        <v>16</v>
      </c>
      <c r="O64">
        <v>97.010463378176382</v>
      </c>
      <c r="P64">
        <v>100</v>
      </c>
      <c r="Q64" s="58">
        <v>3345</v>
      </c>
      <c r="T64">
        <v>16</v>
      </c>
      <c r="U64">
        <v>89.898477157360404</v>
      </c>
      <c r="V64">
        <f>(AB64*10.8)/2</f>
        <v>0.3024</v>
      </c>
      <c r="W64" s="82">
        <v>106</v>
      </c>
      <c r="X64" s="45">
        <v>1868</v>
      </c>
      <c r="Y64" s="82">
        <f t="shared" si="0"/>
        <v>1.8680000000000001</v>
      </c>
      <c r="Z64">
        <f>(Y64*10.8)/2</f>
        <v>10.087200000000001</v>
      </c>
      <c r="AB64">
        <f>56/1000</f>
        <v>5.6000000000000001E-2</v>
      </c>
      <c r="AC64" s="82"/>
      <c r="AD64" s="82"/>
      <c r="AE64" s="82">
        <v>16</v>
      </c>
      <c r="AF64" s="82">
        <v>89.898477157360404</v>
      </c>
      <c r="AG64">
        <v>1137</v>
      </c>
      <c r="AH64">
        <v>956</v>
      </c>
      <c r="AI64" s="82"/>
      <c r="AJ64" s="82"/>
      <c r="AK64" s="82"/>
      <c r="AL64" s="82"/>
      <c r="AU64" s="67">
        <v>16</v>
      </c>
      <c r="AV64" s="67">
        <v>6.84</v>
      </c>
      <c r="AW64" s="67">
        <v>37.700000000000003</v>
      </c>
      <c r="BB64">
        <v>16</v>
      </c>
      <c r="BC64" s="58">
        <f>BE64/BD64</f>
        <v>0.15</v>
      </c>
      <c r="BD64" s="62">
        <v>974</v>
      </c>
      <c r="BE64">
        <v>146.1</v>
      </c>
    </row>
    <row r="65" spans="1:57" x14ac:dyDescent="0.25">
      <c r="B65" s="58">
        <v>112</v>
      </c>
      <c r="C65">
        <v>89.898477157360404</v>
      </c>
      <c r="G65" s="62"/>
      <c r="H65" s="82"/>
      <c r="M65" s="82"/>
      <c r="Q65" s="58"/>
      <c r="W65" s="82"/>
      <c r="Y65" s="82"/>
      <c r="AC65" s="82"/>
      <c r="AD65" s="82"/>
      <c r="AE65" s="82"/>
      <c r="AF65" s="82"/>
      <c r="AI65" s="82"/>
      <c r="AJ65" s="82"/>
      <c r="AK65" s="82"/>
      <c r="AL65" s="82"/>
      <c r="AU65" s="67"/>
      <c r="AV65" s="67"/>
      <c r="AW65" s="67"/>
      <c r="BC65" s="58"/>
      <c r="BD65" s="65"/>
    </row>
    <row r="66" spans="1:57" x14ac:dyDescent="0.25">
      <c r="B66" s="58"/>
      <c r="E66">
        <v>17</v>
      </c>
      <c r="F66">
        <v>91.6243654822335</v>
      </c>
      <c r="G66" s="65">
        <v>52</v>
      </c>
      <c r="H66" s="43">
        <v>9850</v>
      </c>
      <c r="I66">
        <f>G66/106</f>
        <v>0.49056603773584906</v>
      </c>
      <c r="M66" s="82"/>
      <c r="N66">
        <v>17</v>
      </c>
      <c r="O66">
        <v>95.455904334828105</v>
      </c>
      <c r="P66">
        <v>152</v>
      </c>
      <c r="Q66" s="58">
        <v>3345</v>
      </c>
      <c r="T66">
        <v>17</v>
      </c>
      <c r="U66">
        <v>91.6243654822335</v>
      </c>
      <c r="V66">
        <f>(AB66*10.8)/2</f>
        <v>0.28079999999999999</v>
      </c>
      <c r="W66" s="82">
        <v>106</v>
      </c>
      <c r="X66" s="45">
        <v>1785</v>
      </c>
      <c r="Y66" s="82">
        <f t="shared" si="0"/>
        <v>1.7849999999999999</v>
      </c>
      <c r="Z66">
        <f>(Y66*10.8)/2</f>
        <v>9.6389999999999993</v>
      </c>
      <c r="AB66">
        <f>52/1000</f>
        <v>5.1999999999999998E-2</v>
      </c>
      <c r="AC66" s="82"/>
      <c r="AD66" s="82"/>
      <c r="AE66" s="82">
        <v>17</v>
      </c>
      <c r="AF66" s="82">
        <v>91.6243654822335</v>
      </c>
      <c r="AG66">
        <v>888</v>
      </c>
      <c r="AH66">
        <v>633</v>
      </c>
      <c r="AI66" s="82"/>
      <c r="AJ66" s="82"/>
      <c r="AK66" s="82"/>
      <c r="AL66" s="82"/>
      <c r="AU66" s="67">
        <v>17</v>
      </c>
      <c r="AV66" s="67">
        <v>7.02</v>
      </c>
      <c r="AW66" s="67">
        <v>37.799999999999997</v>
      </c>
      <c r="BB66">
        <v>17</v>
      </c>
      <c r="BC66" s="58">
        <f>BE66/BD66</f>
        <v>0.13999999999999999</v>
      </c>
      <c r="BD66" s="62">
        <v>1048</v>
      </c>
      <c r="BE66">
        <v>146.72</v>
      </c>
    </row>
    <row r="67" spans="1:57" x14ac:dyDescent="0.25">
      <c r="B67" s="58">
        <v>119</v>
      </c>
      <c r="C67">
        <v>91.6243654822335</v>
      </c>
      <c r="G67" s="62"/>
      <c r="H67" s="82"/>
      <c r="M67" s="82"/>
      <c r="Q67" s="58"/>
      <c r="W67" s="82"/>
      <c r="Y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U67" s="67"/>
      <c r="AV67" s="67"/>
      <c r="AW67" s="67"/>
      <c r="BC67" s="58"/>
    </row>
    <row r="68" spans="1:57" x14ac:dyDescent="0.25">
      <c r="A68" t="s">
        <v>114</v>
      </c>
      <c r="B68" s="58"/>
      <c r="E68">
        <v>18</v>
      </c>
      <c r="F68">
        <v>92.802030456852791</v>
      </c>
      <c r="G68" s="65">
        <v>49</v>
      </c>
      <c r="H68" s="43">
        <v>9850</v>
      </c>
      <c r="I68">
        <f>G68/106</f>
        <v>0.46226415094339623</v>
      </c>
      <c r="M68" s="82"/>
      <c r="N68">
        <v>18</v>
      </c>
      <c r="O68">
        <v>96.651718983557544</v>
      </c>
      <c r="P68">
        <v>112</v>
      </c>
      <c r="Q68" s="58">
        <v>3345</v>
      </c>
      <c r="T68">
        <v>18</v>
      </c>
      <c r="U68">
        <v>92.802030456852791</v>
      </c>
      <c r="V68">
        <f>(AB68*10.8)/2</f>
        <v>0.2646</v>
      </c>
      <c r="W68" s="82">
        <v>106</v>
      </c>
      <c r="X68" s="45">
        <v>1471</v>
      </c>
      <c r="Y68" s="82">
        <f t="shared" si="0"/>
        <v>1.4710000000000001</v>
      </c>
      <c r="Z68">
        <f>(Y68*10.8)/2</f>
        <v>7.9434000000000013</v>
      </c>
      <c r="AB68">
        <f>49/1000</f>
        <v>4.9000000000000002E-2</v>
      </c>
      <c r="AC68" s="82"/>
      <c r="AD68" s="82"/>
      <c r="AE68" s="82">
        <v>18</v>
      </c>
      <c r="AF68" s="82">
        <v>92.802030456852791</v>
      </c>
      <c r="AG68" s="82">
        <v>554</v>
      </c>
      <c r="AH68" s="82">
        <v>499</v>
      </c>
      <c r="AI68" s="82"/>
      <c r="AJ68" s="82"/>
      <c r="AK68" s="82"/>
      <c r="AL68" s="82"/>
      <c r="AU68" s="67">
        <v>18</v>
      </c>
      <c r="AV68" s="67">
        <v>7.04</v>
      </c>
      <c r="AW68" s="67">
        <v>37.799999999999997</v>
      </c>
      <c r="BB68">
        <v>18</v>
      </c>
      <c r="BC68" s="58">
        <f>BE68/BD68</f>
        <v>0.15</v>
      </c>
      <c r="BD68" s="65">
        <v>854</v>
      </c>
      <c r="BE68">
        <v>128.1</v>
      </c>
    </row>
    <row r="69" spans="1:57" x14ac:dyDescent="0.25">
      <c r="A69">
        <f>SUM(C35:C69)/18</f>
        <v>79.742775025245635</v>
      </c>
      <c r="B69" s="58">
        <v>126</v>
      </c>
      <c r="C69">
        <v>92.802030456852791</v>
      </c>
      <c r="G69" s="77"/>
      <c r="M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R69" s="77"/>
      <c r="AS69" s="77"/>
      <c r="AT69" s="77"/>
      <c r="AU69" s="77"/>
      <c r="AV69" s="77"/>
      <c r="AW69" s="77"/>
      <c r="AX69" s="77"/>
      <c r="AY69" s="77"/>
      <c r="AZ69" s="77"/>
      <c r="BA69" s="77"/>
    </row>
    <row r="70" spans="1:57" x14ac:dyDescent="0.25">
      <c r="G70" s="77"/>
      <c r="M70" s="82"/>
      <c r="AC70" s="82"/>
      <c r="AD70" s="82"/>
      <c r="AE70" s="82"/>
      <c r="AF70" s="82"/>
      <c r="AI70" s="82"/>
      <c r="AJ70" s="82"/>
      <c r="AK70" s="82"/>
      <c r="AL70" s="82"/>
      <c r="AR70" s="77"/>
      <c r="AS70" s="77"/>
      <c r="AT70" s="77"/>
      <c r="AU70" s="77"/>
      <c r="AV70" s="77"/>
      <c r="AW70" s="77"/>
      <c r="AX70" s="77"/>
      <c r="AY70" s="77"/>
      <c r="AZ70" s="77"/>
      <c r="BA70" s="77"/>
    </row>
    <row r="71" spans="1:57" x14ac:dyDescent="0.2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82"/>
      <c r="AR71" s="77"/>
      <c r="AZ71" s="77"/>
      <c r="BA71" s="77"/>
    </row>
    <row r="72" spans="1:57" x14ac:dyDescent="0.25">
      <c r="B72" s="77"/>
      <c r="G72" s="77"/>
      <c r="H72" s="77"/>
      <c r="M72" s="82"/>
      <c r="AR72" s="77"/>
      <c r="AZ72" s="77"/>
      <c r="BA72" s="77"/>
    </row>
    <row r="73" spans="1:57" x14ac:dyDescent="0.25">
      <c r="B73" s="77"/>
      <c r="G73" s="77"/>
      <c r="H73" s="77"/>
      <c r="AR73" s="77"/>
      <c r="AZ73" s="77"/>
      <c r="BA73" s="77"/>
    </row>
    <row r="74" spans="1:57" x14ac:dyDescent="0.25">
      <c r="B74" s="77"/>
      <c r="C74" s="77"/>
      <c r="D74" s="77"/>
      <c r="E74" s="77"/>
      <c r="F74" s="77"/>
      <c r="G74" s="77"/>
      <c r="H74" s="77"/>
      <c r="AR74" s="77"/>
      <c r="AZ74" s="77"/>
      <c r="BA74" s="77"/>
    </row>
    <row r="75" spans="1:57" x14ac:dyDescent="0.25">
      <c r="B75" s="77"/>
      <c r="G75" s="77"/>
      <c r="H75" s="77"/>
      <c r="AR75" s="77"/>
      <c r="AZ75" s="77"/>
      <c r="BA75" s="77"/>
    </row>
    <row r="76" spans="1:57" x14ac:dyDescent="0.25">
      <c r="B76" s="77"/>
      <c r="G76" s="77"/>
      <c r="H76" s="77"/>
      <c r="AR76" s="77"/>
      <c r="AZ76" s="77"/>
      <c r="BA76" s="77"/>
    </row>
    <row r="77" spans="1:57" x14ac:dyDescent="0.25">
      <c r="B77" s="77"/>
      <c r="G77" s="77"/>
      <c r="H77" s="77"/>
      <c r="AR77" s="77"/>
      <c r="AZ77" s="77"/>
      <c r="BA77" s="77"/>
    </row>
    <row r="78" spans="1:57" x14ac:dyDescent="0.25">
      <c r="B78" s="77"/>
      <c r="G78" s="77"/>
      <c r="H78" s="77"/>
      <c r="AG78">
        <v>554</v>
      </c>
      <c r="AH78">
        <v>499</v>
      </c>
      <c r="AR78" s="77"/>
      <c r="AZ78" s="77"/>
      <c r="BA78" s="77"/>
    </row>
    <row r="79" spans="1:57" x14ac:dyDescent="0.25">
      <c r="B79" s="77"/>
      <c r="G79" s="77"/>
      <c r="H79" s="77"/>
      <c r="AR79" s="77"/>
      <c r="AZ79" s="77"/>
      <c r="BA79" s="77"/>
    </row>
    <row r="80" spans="1:57" x14ac:dyDescent="0.25">
      <c r="B80" s="77"/>
      <c r="G80" s="77"/>
      <c r="H80" s="77"/>
      <c r="AR80" s="77"/>
      <c r="AZ80" s="77"/>
      <c r="BA80" s="77"/>
    </row>
    <row r="81" spans="2:53" x14ac:dyDescent="0.25">
      <c r="B81" s="77"/>
      <c r="G81" s="77"/>
      <c r="H81" s="77"/>
      <c r="AR81" s="77"/>
      <c r="AZ81" s="77"/>
      <c r="BA81" s="77"/>
    </row>
    <row r="82" spans="2:53" x14ac:dyDescent="0.25">
      <c r="B82" s="77"/>
      <c r="G82" s="77"/>
      <c r="H82" s="77"/>
      <c r="AR82" s="77"/>
      <c r="AZ82" s="77"/>
      <c r="BA82" s="77"/>
    </row>
    <row r="83" spans="2:53" x14ac:dyDescent="0.25">
      <c r="B83" s="77"/>
      <c r="G83" s="77"/>
      <c r="H83" s="77"/>
      <c r="AR83" s="77"/>
      <c r="AZ83" s="77"/>
      <c r="BA83" s="77"/>
    </row>
    <row r="84" spans="2:53" x14ac:dyDescent="0.25">
      <c r="B84" s="77"/>
      <c r="G84" s="77"/>
      <c r="H84" s="77"/>
      <c r="AR84" s="77"/>
      <c r="AZ84" s="77"/>
      <c r="BA84" s="77"/>
    </row>
    <row r="85" spans="2:53" x14ac:dyDescent="0.25">
      <c r="B85" s="77"/>
      <c r="G85" s="77"/>
      <c r="H85" s="77"/>
      <c r="AR85" s="77"/>
      <c r="AZ85" s="77"/>
      <c r="BA85" s="77"/>
    </row>
    <row r="86" spans="2:53" x14ac:dyDescent="0.25">
      <c r="B86" s="77"/>
      <c r="G86" s="77"/>
      <c r="H86" s="77"/>
      <c r="AR86" s="77"/>
      <c r="AZ86" s="77"/>
      <c r="BA86" s="77"/>
    </row>
    <row r="87" spans="2:53" x14ac:dyDescent="0.25">
      <c r="B87" s="77"/>
      <c r="G87" s="77"/>
      <c r="H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</row>
    <row r="88" spans="2:53" x14ac:dyDescent="0.25">
      <c r="B88" s="77"/>
      <c r="G88" s="77"/>
      <c r="H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</row>
    <row r="89" spans="2:53" x14ac:dyDescent="0.25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</row>
    <row r="90" spans="2:53" x14ac:dyDescent="0.2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2:53" x14ac:dyDescent="0.25"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2:53" x14ac:dyDescent="0.25"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2:53" x14ac:dyDescent="0.25"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</row>
    <row r="94" spans="2:53" x14ac:dyDescent="0.25"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2:53" x14ac:dyDescent="0.25"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2:53" x14ac:dyDescent="0.25"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7:16" x14ac:dyDescent="0.25"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7:16" x14ac:dyDescent="0.25"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7:16" x14ac:dyDescent="0.25"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7:16" x14ac:dyDescent="0.25"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7:16" x14ac:dyDescent="0.25"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7:16" x14ac:dyDescent="0.25"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7:16" x14ac:dyDescent="0.25"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7:16" x14ac:dyDescent="0.25"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7:16" x14ac:dyDescent="0.25"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7:16" x14ac:dyDescent="0.25"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7:16" x14ac:dyDescent="0.25"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7:16" x14ac:dyDescent="0.25"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C13" workbookViewId="0">
      <selection activeCell="G23" sqref="G23"/>
    </sheetView>
  </sheetViews>
  <sheetFormatPr defaultRowHeight="15" x14ac:dyDescent="0.25"/>
  <cols>
    <col min="1" max="1" width="24.140625" bestFit="1" customWidth="1"/>
    <col min="3" max="3" width="13.42578125" bestFit="1" customWidth="1"/>
    <col min="4" max="4" width="15.85546875" bestFit="1" customWidth="1"/>
    <col min="5" max="5" width="11.140625" bestFit="1" customWidth="1"/>
    <col min="6" max="6" width="10.85546875" bestFit="1" customWidth="1"/>
    <col min="7" max="7" width="28.42578125" bestFit="1" customWidth="1"/>
    <col min="8" max="8" width="27" bestFit="1" customWidth="1"/>
  </cols>
  <sheetData>
    <row r="1" spans="1:12" x14ac:dyDescent="0.25">
      <c r="A1" t="s">
        <v>0</v>
      </c>
      <c r="B1" t="s">
        <v>15</v>
      </c>
      <c r="C1" t="s">
        <v>1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J1" s="74" t="s">
        <v>15</v>
      </c>
      <c r="K1" s="74" t="s">
        <v>138</v>
      </c>
      <c r="L1" s="74" t="s">
        <v>139</v>
      </c>
    </row>
    <row r="2" spans="1:12" x14ac:dyDescent="0.25">
      <c r="A2" t="s">
        <v>8</v>
      </c>
      <c r="B2" t="s">
        <v>16</v>
      </c>
      <c r="C2">
        <v>43829.5</v>
      </c>
      <c r="D2">
        <v>488</v>
      </c>
      <c r="E2" s="2">
        <v>2447</v>
      </c>
      <c r="F2">
        <v>24</v>
      </c>
      <c r="G2">
        <v>280</v>
      </c>
      <c r="J2" t="s">
        <v>16</v>
      </c>
      <c r="K2" s="58">
        <v>1006</v>
      </c>
      <c r="L2" s="45">
        <v>1106</v>
      </c>
    </row>
    <row r="3" spans="1:12" x14ac:dyDescent="0.25">
      <c r="A3" t="s">
        <v>10</v>
      </c>
      <c r="C3">
        <v>43829.5</v>
      </c>
      <c r="D3">
        <v>988</v>
      </c>
      <c r="E3">
        <v>1223</v>
      </c>
      <c r="F3">
        <v>22</v>
      </c>
      <c r="G3">
        <v>476</v>
      </c>
    </row>
    <row r="4" spans="1:12" x14ac:dyDescent="0.25">
      <c r="A4" t="s">
        <v>11</v>
      </c>
      <c r="C4">
        <v>43829.5</v>
      </c>
      <c r="D4">
        <v>971</v>
      </c>
      <c r="E4">
        <v>1031</v>
      </c>
      <c r="F4">
        <v>9</v>
      </c>
      <c r="G4">
        <v>56</v>
      </c>
      <c r="H4" s="45">
        <v>1106</v>
      </c>
    </row>
    <row r="5" spans="1:12" x14ac:dyDescent="0.25">
      <c r="A5" t="s">
        <v>12</v>
      </c>
      <c r="C5">
        <v>43825.5</v>
      </c>
      <c r="D5">
        <v>832</v>
      </c>
      <c r="E5">
        <v>1667</v>
      </c>
      <c r="F5">
        <v>16</v>
      </c>
      <c r="G5">
        <v>720</v>
      </c>
      <c r="H5">
        <v>1006</v>
      </c>
    </row>
    <row r="6" spans="1:12" x14ac:dyDescent="0.25">
      <c r="A6" t="s">
        <v>10</v>
      </c>
      <c r="B6" t="s">
        <v>17</v>
      </c>
      <c r="C6">
        <v>43836.5</v>
      </c>
      <c r="D6">
        <v>965</v>
      </c>
      <c r="E6">
        <v>809</v>
      </c>
      <c r="F6">
        <v>104</v>
      </c>
      <c r="G6">
        <v>176</v>
      </c>
      <c r="J6" t="s">
        <v>17</v>
      </c>
      <c r="K6" s="58">
        <v>1078</v>
      </c>
      <c r="L6" s="45">
        <v>884</v>
      </c>
    </row>
    <row r="7" spans="1:12" x14ac:dyDescent="0.25">
      <c r="A7" t="s">
        <v>11</v>
      </c>
      <c r="C7">
        <v>43836.5</v>
      </c>
      <c r="D7">
        <v>940</v>
      </c>
      <c r="E7">
        <v>450</v>
      </c>
      <c r="F7">
        <v>27</v>
      </c>
      <c r="G7">
        <v>58</v>
      </c>
      <c r="H7" s="45">
        <v>884</v>
      </c>
    </row>
    <row r="8" spans="1:12" x14ac:dyDescent="0.25">
      <c r="A8" t="s">
        <v>12</v>
      </c>
      <c r="C8">
        <v>43838.5</v>
      </c>
      <c r="D8">
        <v>882</v>
      </c>
      <c r="E8">
        <v>1450</v>
      </c>
      <c r="F8">
        <v>26</v>
      </c>
      <c r="G8">
        <v>80</v>
      </c>
      <c r="H8">
        <v>1078</v>
      </c>
    </row>
    <row r="9" spans="1:12" x14ac:dyDescent="0.25">
      <c r="A9" t="s">
        <v>10</v>
      </c>
      <c r="B9" t="s">
        <v>18</v>
      </c>
      <c r="C9">
        <v>43843.5</v>
      </c>
      <c r="D9">
        <v>939</v>
      </c>
      <c r="E9">
        <v>395</v>
      </c>
      <c r="F9">
        <v>4</v>
      </c>
      <c r="G9">
        <v>14</v>
      </c>
      <c r="J9" t="s">
        <v>18</v>
      </c>
      <c r="K9" s="58">
        <v>916</v>
      </c>
      <c r="L9" s="45">
        <v>834</v>
      </c>
    </row>
    <row r="10" spans="1:12" x14ac:dyDescent="0.25">
      <c r="A10" t="s">
        <v>11</v>
      </c>
      <c r="C10">
        <v>43843.5</v>
      </c>
      <c r="D10">
        <v>940</v>
      </c>
      <c r="E10">
        <v>358</v>
      </c>
      <c r="F10">
        <v>27</v>
      </c>
      <c r="G10">
        <v>42</v>
      </c>
      <c r="H10" s="45">
        <v>834</v>
      </c>
    </row>
    <row r="11" spans="1:12" x14ac:dyDescent="0.25">
      <c r="A11" t="s">
        <v>12</v>
      </c>
      <c r="C11">
        <v>43843.5</v>
      </c>
      <c r="D11">
        <v>869</v>
      </c>
      <c r="E11">
        <v>881</v>
      </c>
      <c r="F11">
        <v>8</v>
      </c>
      <c r="G11">
        <v>184</v>
      </c>
      <c r="H11">
        <v>916</v>
      </c>
    </row>
    <row r="12" spans="1:12" x14ac:dyDescent="0.25">
      <c r="A12" t="s">
        <v>10</v>
      </c>
      <c r="B12" t="s">
        <v>19</v>
      </c>
      <c r="C12">
        <v>43850.5</v>
      </c>
      <c r="D12">
        <v>749</v>
      </c>
      <c r="E12">
        <v>961</v>
      </c>
      <c r="F12">
        <v>5</v>
      </c>
      <c r="G12">
        <v>100</v>
      </c>
      <c r="J12" t="s">
        <v>19</v>
      </c>
      <c r="K12" s="58">
        <v>950</v>
      </c>
      <c r="L12" s="45">
        <v>870</v>
      </c>
    </row>
    <row r="13" spans="1:12" x14ac:dyDescent="0.25">
      <c r="A13" t="s">
        <v>11</v>
      </c>
      <c r="C13">
        <v>43850.5</v>
      </c>
      <c r="D13">
        <v>812</v>
      </c>
      <c r="E13">
        <v>1754</v>
      </c>
      <c r="F13">
        <v>357</v>
      </c>
      <c r="G13">
        <v>680</v>
      </c>
      <c r="H13" s="45">
        <v>870</v>
      </c>
    </row>
    <row r="14" spans="1:12" x14ac:dyDescent="0.25">
      <c r="A14" t="s">
        <v>12</v>
      </c>
      <c r="C14">
        <v>43847.5</v>
      </c>
      <c r="D14">
        <v>496</v>
      </c>
      <c r="E14">
        <v>1374</v>
      </c>
      <c r="F14">
        <v>11</v>
      </c>
      <c r="G14">
        <v>13</v>
      </c>
      <c r="H14">
        <v>950</v>
      </c>
    </row>
    <row r="15" spans="1:12" x14ac:dyDescent="0.25">
      <c r="A15" t="s">
        <v>12</v>
      </c>
      <c r="B15" t="s">
        <v>20</v>
      </c>
      <c r="C15">
        <v>43861.5</v>
      </c>
      <c r="D15">
        <v>462</v>
      </c>
      <c r="E15">
        <v>1174</v>
      </c>
      <c r="F15">
        <v>25</v>
      </c>
      <c r="G15">
        <v>348</v>
      </c>
      <c r="H15">
        <v>1226</v>
      </c>
      <c r="J15" t="s">
        <v>20</v>
      </c>
      <c r="K15" s="58">
        <v>1226</v>
      </c>
      <c r="L15" s="45">
        <v>1140</v>
      </c>
    </row>
    <row r="16" spans="1:12" x14ac:dyDescent="0.25">
      <c r="A16" t="s">
        <v>11</v>
      </c>
      <c r="C16">
        <v>43861.5</v>
      </c>
      <c r="D16">
        <v>490</v>
      </c>
      <c r="E16">
        <v>3613</v>
      </c>
      <c r="F16">
        <v>33</v>
      </c>
      <c r="G16">
        <v>162</v>
      </c>
      <c r="H16" s="45">
        <v>1140</v>
      </c>
    </row>
    <row r="17" spans="1:12" x14ac:dyDescent="0.25">
      <c r="A17" t="s">
        <v>10</v>
      </c>
      <c r="C17">
        <v>43861.5</v>
      </c>
      <c r="D17">
        <v>492</v>
      </c>
      <c r="E17">
        <v>3452</v>
      </c>
      <c r="F17">
        <v>5</v>
      </c>
      <c r="G17">
        <v>150</v>
      </c>
    </row>
    <row r="18" spans="1:12" x14ac:dyDescent="0.25">
      <c r="A18" t="s">
        <v>12</v>
      </c>
      <c r="B18" t="s">
        <v>21</v>
      </c>
      <c r="C18">
        <v>43866.5</v>
      </c>
      <c r="D18">
        <v>816</v>
      </c>
      <c r="E18">
        <v>1176</v>
      </c>
      <c r="F18">
        <v>17</v>
      </c>
      <c r="G18">
        <v>292</v>
      </c>
      <c r="H18">
        <v>982</v>
      </c>
      <c r="J18" t="s">
        <v>21</v>
      </c>
      <c r="K18" s="58">
        <v>982</v>
      </c>
      <c r="L18" s="45">
        <v>956</v>
      </c>
    </row>
    <row r="19" spans="1:12" x14ac:dyDescent="0.25">
      <c r="A19" t="s">
        <v>11</v>
      </c>
      <c r="C19">
        <v>43868.5</v>
      </c>
      <c r="D19">
        <v>965</v>
      </c>
      <c r="E19" s="2">
        <v>1843</v>
      </c>
      <c r="F19">
        <v>79</v>
      </c>
      <c r="G19">
        <v>148</v>
      </c>
      <c r="H19" s="45">
        <v>956</v>
      </c>
    </row>
    <row r="20" spans="1:12" x14ac:dyDescent="0.25">
      <c r="A20" t="s">
        <v>10</v>
      </c>
      <c r="C20">
        <v>43868.5</v>
      </c>
      <c r="D20">
        <v>926</v>
      </c>
      <c r="E20">
        <v>1988</v>
      </c>
      <c r="F20">
        <v>31</v>
      </c>
      <c r="G20">
        <v>126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selection activeCell="AB12" sqref="AB12"/>
    </sheetView>
  </sheetViews>
  <sheetFormatPr defaultRowHeight="15" x14ac:dyDescent="0.25"/>
  <cols>
    <col min="1" max="1" width="18.85546875" bestFit="1" customWidth="1"/>
    <col min="2" max="2" width="13.85546875" bestFit="1" customWidth="1"/>
    <col min="3" max="3" width="17" bestFit="1" customWidth="1"/>
  </cols>
  <sheetData>
    <row r="1" spans="1:29" x14ac:dyDescent="0.25">
      <c r="A1" s="3" t="s">
        <v>22</v>
      </c>
      <c r="B1" s="4">
        <v>2</v>
      </c>
      <c r="C1" s="5"/>
      <c r="D1" s="91" t="s">
        <v>23</v>
      </c>
      <c r="E1" s="6" t="s">
        <v>24</v>
      </c>
      <c r="F1" s="7" t="s">
        <v>25</v>
      </c>
      <c r="G1" s="7" t="s">
        <v>26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5">
      <c r="A2" s="8"/>
      <c r="B2" s="8"/>
      <c r="C2" s="8"/>
      <c r="D2" s="91"/>
      <c r="E2" s="9">
        <v>0.37</v>
      </c>
      <c r="F2" s="10"/>
      <c r="G2" s="1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8"/>
      <c r="B3" s="8"/>
      <c r="C3" s="8"/>
      <c r="D3" s="1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x14ac:dyDescent="0.25">
      <c r="A4" s="8"/>
      <c r="B4" s="8"/>
      <c r="C4" s="8"/>
      <c r="D4" s="12" t="s">
        <v>27</v>
      </c>
      <c r="E4" s="12">
        <v>0.67</v>
      </c>
      <c r="F4" s="12" t="s">
        <v>28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25">
      <c r="A5" s="11"/>
      <c r="B5" s="11"/>
      <c r="C5" s="11"/>
      <c r="D5" s="1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25">
      <c r="A6" s="13"/>
      <c r="B6" s="13"/>
      <c r="C6" s="86" t="s">
        <v>29</v>
      </c>
      <c r="D6" s="87"/>
      <c r="E6" s="88"/>
      <c r="F6" s="88"/>
      <c r="G6" s="89"/>
      <c r="H6" s="86" t="s">
        <v>30</v>
      </c>
      <c r="I6" s="87"/>
      <c r="J6" s="88"/>
      <c r="K6" s="88"/>
      <c r="L6" s="89"/>
      <c r="M6" s="86" t="s">
        <v>31</v>
      </c>
      <c r="N6" s="87"/>
      <c r="O6" s="88"/>
      <c r="P6" s="88"/>
      <c r="Q6" s="89"/>
      <c r="R6" s="86" t="s">
        <v>32</v>
      </c>
      <c r="S6" s="87"/>
      <c r="T6" s="88"/>
      <c r="U6" s="88"/>
      <c r="V6" s="89"/>
      <c r="W6" s="86" t="s">
        <v>20</v>
      </c>
      <c r="X6" s="87"/>
      <c r="Y6" s="88"/>
      <c r="Z6" s="88"/>
      <c r="AA6" s="89"/>
      <c r="AB6" s="5"/>
      <c r="AC6" s="5"/>
    </row>
    <row r="7" spans="1:29" x14ac:dyDescent="0.25">
      <c r="A7" s="13"/>
      <c r="B7" s="13"/>
      <c r="C7" s="14" t="s">
        <v>33</v>
      </c>
      <c r="D7" s="14" t="s">
        <v>34</v>
      </c>
      <c r="E7" s="14" t="s">
        <v>35</v>
      </c>
      <c r="F7" s="14" t="s">
        <v>36</v>
      </c>
      <c r="G7" s="14" t="s">
        <v>37</v>
      </c>
      <c r="H7" s="14" t="s">
        <v>33</v>
      </c>
      <c r="I7" s="14" t="s">
        <v>34</v>
      </c>
      <c r="J7" s="14" t="s">
        <v>35</v>
      </c>
      <c r="K7" s="14" t="s">
        <v>36</v>
      </c>
      <c r="L7" s="14" t="s">
        <v>37</v>
      </c>
      <c r="M7" s="14" t="s">
        <v>33</v>
      </c>
      <c r="N7" s="14" t="s">
        <v>34</v>
      </c>
      <c r="O7" s="14" t="s">
        <v>35</v>
      </c>
      <c r="P7" s="14" t="s">
        <v>36</v>
      </c>
      <c r="Q7" s="14" t="s">
        <v>37</v>
      </c>
      <c r="R7" s="14" t="s">
        <v>33</v>
      </c>
      <c r="S7" s="14" t="s">
        <v>34</v>
      </c>
      <c r="T7" s="14" t="s">
        <v>35</v>
      </c>
      <c r="U7" s="14" t="s">
        <v>36</v>
      </c>
      <c r="V7" s="14" t="s">
        <v>37</v>
      </c>
      <c r="W7" s="14" t="s">
        <v>33</v>
      </c>
      <c r="X7" s="14" t="s">
        <v>34</v>
      </c>
      <c r="Y7" s="14" t="s">
        <v>35</v>
      </c>
      <c r="Z7" s="14" t="s">
        <v>36</v>
      </c>
      <c r="AA7" s="14" t="s">
        <v>37</v>
      </c>
      <c r="AB7" s="15"/>
      <c r="AC7" s="5"/>
    </row>
    <row r="8" spans="1:29" x14ac:dyDescent="0.25">
      <c r="A8" s="90" t="s">
        <v>38</v>
      </c>
      <c r="B8" s="8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5"/>
      <c r="AC8" s="5"/>
    </row>
    <row r="9" spans="1:29" ht="15.75" x14ac:dyDescent="0.25">
      <c r="A9" s="16" t="s">
        <v>39</v>
      </c>
      <c r="B9" s="16" t="s">
        <v>40</v>
      </c>
      <c r="C9" s="14" t="s">
        <v>41</v>
      </c>
      <c r="D9" s="14" t="s">
        <v>41</v>
      </c>
      <c r="E9" s="14" t="s">
        <v>41</v>
      </c>
      <c r="F9" s="14" t="s">
        <v>41</v>
      </c>
      <c r="G9" s="14" t="s">
        <v>41</v>
      </c>
      <c r="H9" s="14" t="s">
        <v>41</v>
      </c>
      <c r="I9" s="14" t="s">
        <v>41</v>
      </c>
      <c r="J9" s="14" t="s">
        <v>41</v>
      </c>
      <c r="K9" s="14" t="s">
        <v>41</v>
      </c>
      <c r="L9" s="14" t="s">
        <v>41</v>
      </c>
      <c r="M9" s="14" t="s">
        <v>41</v>
      </c>
      <c r="N9" s="14" t="s">
        <v>41</v>
      </c>
      <c r="O9" s="14" t="s">
        <v>41</v>
      </c>
      <c r="P9" s="14" t="s">
        <v>41</v>
      </c>
      <c r="Q9" s="14" t="s">
        <v>41</v>
      </c>
      <c r="R9" s="14" t="s">
        <v>41</v>
      </c>
      <c r="S9" s="14" t="s">
        <v>41</v>
      </c>
      <c r="T9" s="14" t="s">
        <v>41</v>
      </c>
      <c r="U9" s="14" t="s">
        <v>41</v>
      </c>
      <c r="V9" s="14" t="s">
        <v>41</v>
      </c>
      <c r="W9" s="14" t="s">
        <v>41</v>
      </c>
      <c r="X9" s="14" t="s">
        <v>41</v>
      </c>
      <c r="Y9" s="14" t="s">
        <v>41</v>
      </c>
      <c r="Z9" s="14" t="s">
        <v>41</v>
      </c>
      <c r="AA9" s="14" t="s">
        <v>41</v>
      </c>
      <c r="AB9" s="5"/>
      <c r="AC9" s="5"/>
    </row>
    <row r="10" spans="1:29" x14ac:dyDescent="0.25">
      <c r="A10" s="17" t="s">
        <v>42</v>
      </c>
      <c r="B10" s="17" t="s">
        <v>43</v>
      </c>
      <c r="C10" s="18">
        <v>0.38</v>
      </c>
      <c r="D10" s="18">
        <v>0.38</v>
      </c>
      <c r="E10" s="18">
        <v>0.38</v>
      </c>
      <c r="F10" s="18">
        <v>0.38</v>
      </c>
      <c r="G10" s="18">
        <v>0.38</v>
      </c>
      <c r="H10" s="18">
        <v>0.38</v>
      </c>
      <c r="I10" s="18">
        <v>0.38</v>
      </c>
      <c r="J10" s="18">
        <v>0.38</v>
      </c>
      <c r="K10" s="18">
        <v>0.38</v>
      </c>
      <c r="L10" s="18">
        <v>0.38</v>
      </c>
      <c r="M10" s="18">
        <v>0.38</v>
      </c>
      <c r="N10" s="18">
        <v>0.38</v>
      </c>
      <c r="O10" s="18">
        <v>0.38</v>
      </c>
      <c r="P10" s="18">
        <v>0.38</v>
      </c>
      <c r="Q10" s="18">
        <v>0.38</v>
      </c>
      <c r="R10" s="18">
        <v>0.38</v>
      </c>
      <c r="S10" s="18">
        <v>0.38</v>
      </c>
      <c r="T10" s="18">
        <v>0.38</v>
      </c>
      <c r="U10" s="18">
        <v>0.38</v>
      </c>
      <c r="V10" s="18">
        <v>0.38</v>
      </c>
      <c r="W10" s="18">
        <v>0.38</v>
      </c>
      <c r="X10" s="18">
        <v>0.38</v>
      </c>
      <c r="Y10" s="18">
        <v>0.38</v>
      </c>
      <c r="Z10" s="18">
        <v>0.38</v>
      </c>
      <c r="AA10" s="19">
        <v>0.38</v>
      </c>
      <c r="AB10" s="20"/>
      <c r="AC10" s="20"/>
    </row>
    <row r="11" spans="1:29" x14ac:dyDescent="0.25">
      <c r="A11" s="17" t="s">
        <v>44</v>
      </c>
      <c r="B11" s="17" t="s">
        <v>45</v>
      </c>
      <c r="C11" s="18">
        <f>($E$2*'[1]Pre-treatment'!D25)/$B$1</f>
        <v>0</v>
      </c>
      <c r="D11" s="18">
        <f>($E$2*'[1]Pre-treatment'!F25)/$B$1</f>
        <v>0</v>
      </c>
      <c r="E11" s="18">
        <f>($E$2*'[1]Pre-treatment'!H25)/$B$1</f>
        <v>0</v>
      </c>
      <c r="F11" s="18">
        <f>($E$2*'[1]Pre-treatment'!J25)/$B$1</f>
        <v>0</v>
      </c>
      <c r="G11" s="18">
        <f>($E$2*'[1]Pre-treatment'!L25)/$B$1</f>
        <v>308.39499999999998</v>
      </c>
      <c r="H11" s="18">
        <f>($E$2*'[1]Pre-treatment'!N25)/$B$1</f>
        <v>0</v>
      </c>
      <c r="I11" s="18">
        <f>($E$2*'[1]Pre-treatment'!P25)/$B$1</f>
        <v>0</v>
      </c>
      <c r="J11" s="18">
        <f>($E$2*'[1]Pre-treatment'!R25)/$B$1</f>
        <v>0</v>
      </c>
      <c r="K11" s="18">
        <f>($E$2*'[1]Pre-treatment'!T25)/$B$1</f>
        <v>0</v>
      </c>
      <c r="L11" s="18">
        <f>($E$2*'[1]Pre-treatment'!V25)/$B$1</f>
        <v>268.25</v>
      </c>
      <c r="M11" s="18">
        <f>($E$2*'[1]Pre-treatment'!X25)/$B$1</f>
        <v>0</v>
      </c>
      <c r="N11" s="18">
        <f>($E$2*'[1]Pre-treatment'!Z25)/$B$1</f>
        <v>0</v>
      </c>
      <c r="O11" s="18">
        <f>($E$2*'[1]Pre-treatment'!AB25)/$B$1</f>
        <v>0</v>
      </c>
      <c r="P11" s="18">
        <f>($E$2*'[1]Pre-treatment'!AD25)/$B$1</f>
        <v>0</v>
      </c>
      <c r="Q11" s="18">
        <f>($E$2*'[1]Pre-treatment'!AF25)/$B$1</f>
        <v>162.98499999999999</v>
      </c>
      <c r="R11" s="18">
        <f>($E$2*'[1]Pre-treatment'!AH25)/$B$1</f>
        <v>0</v>
      </c>
      <c r="S11" s="18">
        <f>($E$2*'[1]Pre-treatment'!AJ25)/$B$1</f>
        <v>0</v>
      </c>
      <c r="T11" s="18">
        <f>($E$2*'[1]Pre-treatment'!AL25)/$B$1</f>
        <v>0</v>
      </c>
      <c r="U11" s="18">
        <f>($E$2*'[1]Pre-treatment'!AN25)/$B$1</f>
        <v>0</v>
      </c>
      <c r="V11" s="18">
        <f>($E$2*'[1]Pre-treatment'!AP25)/$B$1</f>
        <v>254.19</v>
      </c>
      <c r="W11" s="18">
        <f>($E$2*'[1]Pre-treatment'!AR25)/$B$1</f>
        <v>0</v>
      </c>
      <c r="X11" s="18">
        <f>($E$2*'[1]Pre-treatment'!AT25)/$B$1</f>
        <v>0</v>
      </c>
      <c r="Y11" s="18">
        <f>($E$2*'[1]Pre-treatment'!AV25)/$B$1</f>
        <v>0</v>
      </c>
      <c r="Z11" s="18">
        <f>($E$2*'[1]Pre-treatment'!AX25)/$B$1</f>
        <v>0</v>
      </c>
      <c r="AA11" s="18">
        <f>($E$2*'[1]Pre-treatment'!AZ25)/$B$1</f>
        <v>217.19</v>
      </c>
      <c r="AB11" s="5"/>
      <c r="AC11" s="5"/>
    </row>
    <row r="12" spans="1:29" x14ac:dyDescent="0.25">
      <c r="A12" s="17" t="s">
        <v>46</v>
      </c>
      <c r="B12" s="17" t="s">
        <v>47</v>
      </c>
      <c r="C12" s="21">
        <f>$B$1/$E$2</f>
        <v>5.4054054054054053</v>
      </c>
      <c r="D12" s="21">
        <f t="shared" ref="D12:AA12" si="0">$B$1/$E$2</f>
        <v>5.4054054054054053</v>
      </c>
      <c r="E12" s="21">
        <f t="shared" si="0"/>
        <v>5.4054054054054053</v>
      </c>
      <c r="F12" s="21">
        <f t="shared" si="0"/>
        <v>5.4054054054054053</v>
      </c>
      <c r="G12" s="21">
        <f t="shared" si="0"/>
        <v>5.4054054054054053</v>
      </c>
      <c r="H12" s="21">
        <f t="shared" si="0"/>
        <v>5.4054054054054053</v>
      </c>
      <c r="I12" s="21">
        <f t="shared" si="0"/>
        <v>5.4054054054054053</v>
      </c>
      <c r="J12" s="21">
        <f t="shared" si="0"/>
        <v>5.4054054054054053</v>
      </c>
      <c r="K12" s="21">
        <f t="shared" si="0"/>
        <v>5.4054054054054053</v>
      </c>
      <c r="L12" s="21">
        <f t="shared" si="0"/>
        <v>5.4054054054054053</v>
      </c>
      <c r="M12" s="21">
        <f t="shared" si="0"/>
        <v>5.4054054054054053</v>
      </c>
      <c r="N12" s="21">
        <f t="shared" si="0"/>
        <v>5.4054054054054053</v>
      </c>
      <c r="O12" s="21">
        <f t="shared" si="0"/>
        <v>5.4054054054054053</v>
      </c>
      <c r="P12" s="21">
        <f t="shared" si="0"/>
        <v>5.4054054054054053</v>
      </c>
      <c r="Q12" s="21">
        <f t="shared" si="0"/>
        <v>5.4054054054054053</v>
      </c>
      <c r="R12" s="21">
        <f t="shared" si="0"/>
        <v>5.4054054054054053</v>
      </c>
      <c r="S12" s="21">
        <f t="shared" si="0"/>
        <v>5.4054054054054053</v>
      </c>
      <c r="T12" s="21">
        <f t="shared" si="0"/>
        <v>5.4054054054054053</v>
      </c>
      <c r="U12" s="21">
        <f t="shared" si="0"/>
        <v>5.4054054054054053</v>
      </c>
      <c r="V12" s="21">
        <f t="shared" si="0"/>
        <v>5.4054054054054053</v>
      </c>
      <c r="W12" s="21">
        <f t="shared" si="0"/>
        <v>5.4054054054054053</v>
      </c>
      <c r="X12" s="21">
        <f t="shared" si="0"/>
        <v>5.4054054054054053</v>
      </c>
      <c r="Y12" s="21">
        <f t="shared" si="0"/>
        <v>5.4054054054054053</v>
      </c>
      <c r="Z12" s="21">
        <f t="shared" si="0"/>
        <v>5.4054054054054053</v>
      </c>
      <c r="AA12" s="21">
        <f t="shared" si="0"/>
        <v>5.4054054054054053</v>
      </c>
      <c r="AB12" s="5"/>
      <c r="AC12" s="5"/>
    </row>
    <row r="13" spans="1:29" x14ac:dyDescent="0.25">
      <c r="A13" s="22" t="s">
        <v>48</v>
      </c>
      <c r="B13" s="17" t="s">
        <v>9</v>
      </c>
      <c r="C13" s="18"/>
      <c r="D13" s="18"/>
      <c r="E13" s="18"/>
      <c r="F13" s="18"/>
      <c r="G13" s="18"/>
      <c r="H13" s="18">
        <v>7.03</v>
      </c>
      <c r="I13" s="18">
        <v>6.9</v>
      </c>
      <c r="J13" s="18">
        <v>6.6</v>
      </c>
      <c r="K13" s="18"/>
      <c r="L13" s="18"/>
      <c r="M13" s="18">
        <v>6.73</v>
      </c>
      <c r="N13" s="18">
        <v>6.59</v>
      </c>
      <c r="O13" s="18">
        <v>6.6</v>
      </c>
      <c r="P13" s="18"/>
      <c r="Q13" s="18"/>
      <c r="R13" s="18" t="s">
        <v>73</v>
      </c>
      <c r="S13" s="18" t="s">
        <v>72</v>
      </c>
      <c r="T13" s="18" t="s">
        <v>74</v>
      </c>
      <c r="U13" s="18"/>
      <c r="V13" s="18"/>
      <c r="W13" s="18"/>
      <c r="X13" s="18" t="s">
        <v>76</v>
      </c>
      <c r="Y13" s="18" t="s">
        <v>75</v>
      </c>
      <c r="Z13" s="18"/>
      <c r="AA13" s="18"/>
      <c r="AB13" s="5"/>
      <c r="AC13" s="5"/>
    </row>
    <row r="14" spans="1:29" x14ac:dyDescent="0.25">
      <c r="A14" s="22" t="s">
        <v>49</v>
      </c>
      <c r="B14" s="17" t="s">
        <v>50</v>
      </c>
      <c r="C14" s="18">
        <f>C18/$E$4</f>
        <v>0</v>
      </c>
      <c r="D14" s="18">
        <f t="shared" ref="D14:AA14" si="1">D18/$E$4</f>
        <v>0</v>
      </c>
      <c r="E14" s="18">
        <f t="shared" si="1"/>
        <v>0</v>
      </c>
      <c r="F14" s="18">
        <f t="shared" si="1"/>
        <v>0</v>
      </c>
      <c r="G14" s="18">
        <f t="shared" si="1"/>
        <v>1650.7462686567162</v>
      </c>
      <c r="H14" s="18">
        <f t="shared" si="1"/>
        <v>2298.5074626865671</v>
      </c>
      <c r="I14" s="18">
        <f t="shared" si="1"/>
        <v>2253.7313432835817</v>
      </c>
      <c r="J14" s="18">
        <f t="shared" si="1"/>
        <v>0</v>
      </c>
      <c r="K14" s="18">
        <f t="shared" si="1"/>
        <v>0</v>
      </c>
      <c r="L14" s="18">
        <f t="shared" si="1"/>
        <v>1319.4029850746267</v>
      </c>
      <c r="M14" s="18">
        <f t="shared" si="1"/>
        <v>2313.4328358208954</v>
      </c>
      <c r="N14" s="18">
        <f t="shared" si="1"/>
        <v>2477.6119402985073</v>
      </c>
      <c r="O14" s="18">
        <f t="shared" si="1"/>
        <v>2388.059701492537</v>
      </c>
      <c r="P14" s="18">
        <f t="shared" si="1"/>
        <v>0</v>
      </c>
      <c r="Q14" s="18">
        <f t="shared" si="1"/>
        <v>1244.7761194029849</v>
      </c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1298.5074626865671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1701.4925373134326</v>
      </c>
      <c r="AB14" s="5"/>
      <c r="AC14" s="5"/>
    </row>
    <row r="15" spans="1:29" x14ac:dyDescent="0.25">
      <c r="A15" s="22" t="s">
        <v>51</v>
      </c>
      <c r="B15" s="17" t="s">
        <v>52</v>
      </c>
      <c r="C15" s="18"/>
      <c r="D15" s="18"/>
      <c r="E15" s="18"/>
      <c r="F15" s="18"/>
      <c r="G15" s="18"/>
      <c r="H15" s="18">
        <v>-5</v>
      </c>
      <c r="I15" s="18">
        <v>5</v>
      </c>
      <c r="J15" s="18">
        <v>22</v>
      </c>
      <c r="K15" s="18"/>
      <c r="L15" s="18"/>
      <c r="M15" s="18">
        <v>22</v>
      </c>
      <c r="N15" s="18">
        <v>29</v>
      </c>
      <c r="O15" s="18">
        <v>31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5"/>
      <c r="AC15" s="5"/>
    </row>
    <row r="16" spans="1:29" x14ac:dyDescent="0.25">
      <c r="A16" s="22" t="s">
        <v>53</v>
      </c>
      <c r="B16" s="17" t="s">
        <v>54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5"/>
      <c r="AC16" s="5"/>
    </row>
    <row r="17" spans="1:29" x14ac:dyDescent="0.25">
      <c r="A17" s="22" t="s">
        <v>55</v>
      </c>
      <c r="B17" s="17" t="s">
        <v>56</v>
      </c>
      <c r="C17" s="18"/>
      <c r="D17" s="18"/>
      <c r="E17" s="18"/>
      <c r="F17" s="18"/>
      <c r="G17" s="18">
        <v>56</v>
      </c>
      <c r="H17" s="18"/>
      <c r="I17" s="18"/>
      <c r="J17" s="18"/>
      <c r="K17" s="18"/>
      <c r="L17" s="18">
        <v>58</v>
      </c>
      <c r="M17" s="18"/>
      <c r="N17" s="18"/>
      <c r="O17" s="18"/>
      <c r="P17" s="18"/>
      <c r="Q17" s="18">
        <v>42</v>
      </c>
      <c r="R17" s="18"/>
      <c r="S17" s="18"/>
      <c r="T17" s="18"/>
      <c r="U17" s="18"/>
      <c r="V17" s="18">
        <v>680</v>
      </c>
      <c r="W17" s="18"/>
      <c r="X17" s="18"/>
      <c r="Y17" s="18"/>
      <c r="Z17" s="18"/>
      <c r="AA17" s="18">
        <v>162</v>
      </c>
      <c r="AB17" s="5"/>
      <c r="AC17" s="5"/>
    </row>
    <row r="18" spans="1:29" x14ac:dyDescent="0.25">
      <c r="A18" s="22" t="s">
        <v>57</v>
      </c>
      <c r="B18" s="17" t="s">
        <v>58</v>
      </c>
      <c r="C18" s="18"/>
      <c r="D18" s="18"/>
      <c r="E18" s="18"/>
      <c r="F18" s="18"/>
      <c r="G18" s="18">
        <v>1106</v>
      </c>
      <c r="H18" s="18">
        <v>1540</v>
      </c>
      <c r="I18" s="18">
        <v>1510</v>
      </c>
      <c r="J18" s="18"/>
      <c r="K18" s="18"/>
      <c r="L18" s="18">
        <v>884</v>
      </c>
      <c r="M18" s="18">
        <v>1550</v>
      </c>
      <c r="N18" s="18">
        <v>1660</v>
      </c>
      <c r="O18" s="18">
        <v>1600</v>
      </c>
      <c r="P18" s="18"/>
      <c r="Q18" s="18">
        <v>834</v>
      </c>
      <c r="R18" s="18"/>
      <c r="S18" s="18"/>
      <c r="T18" s="18"/>
      <c r="U18" s="18"/>
      <c r="V18" s="18">
        <v>870</v>
      </c>
      <c r="W18" s="18"/>
      <c r="X18" s="18"/>
      <c r="Y18" s="18"/>
      <c r="Z18" s="18"/>
      <c r="AA18" s="18">
        <v>1140</v>
      </c>
      <c r="AB18" s="5"/>
      <c r="AC18" s="5"/>
    </row>
    <row r="19" spans="1:29" x14ac:dyDescent="0.25">
      <c r="A19" s="22" t="s">
        <v>59</v>
      </c>
      <c r="B19" s="17" t="s">
        <v>56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5"/>
      <c r="AC19" s="5"/>
    </row>
    <row r="20" spans="1:29" ht="19.5" x14ac:dyDescent="0.25">
      <c r="A20" s="22" t="s">
        <v>68</v>
      </c>
      <c r="B20" s="17" t="s">
        <v>56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5"/>
      <c r="AC20" s="5"/>
    </row>
    <row r="21" spans="1:29" ht="18.75" x14ac:dyDescent="0.35">
      <c r="A21" s="10" t="s">
        <v>69</v>
      </c>
      <c r="B21" s="17" t="s">
        <v>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5"/>
      <c r="AC21" s="5"/>
    </row>
    <row r="22" spans="1:29" ht="19.5" x14ac:dyDescent="0.25">
      <c r="A22" s="23" t="s">
        <v>70</v>
      </c>
      <c r="B22" s="17" t="s">
        <v>56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5"/>
      <c r="AC22" s="5"/>
    </row>
    <row r="23" spans="1:29" x14ac:dyDescent="0.25">
      <c r="A23" s="22" t="s">
        <v>60</v>
      </c>
      <c r="B23" s="17" t="s">
        <v>56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5"/>
      <c r="AC23" s="5"/>
    </row>
    <row r="24" spans="1:29" ht="19.5" x14ac:dyDescent="0.25">
      <c r="A24" s="22" t="s">
        <v>71</v>
      </c>
      <c r="B24" s="17" t="s">
        <v>56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5"/>
      <c r="AC24" s="5"/>
    </row>
    <row r="25" spans="1:29" x14ac:dyDescent="0.25">
      <c r="A25" s="22" t="s">
        <v>61</v>
      </c>
      <c r="B25" s="17" t="s">
        <v>56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5"/>
      <c r="AC25" s="5"/>
    </row>
    <row r="26" spans="1:29" x14ac:dyDescent="0.25">
      <c r="A26" s="22" t="s">
        <v>62</v>
      </c>
      <c r="B26" s="17" t="s">
        <v>56</v>
      </c>
      <c r="C26" s="18"/>
      <c r="D26" s="18"/>
      <c r="E26" s="18"/>
      <c r="F26" s="18"/>
      <c r="G26" s="18">
        <v>971</v>
      </c>
      <c r="H26" s="18"/>
      <c r="I26" s="18"/>
      <c r="J26" s="18"/>
      <c r="K26" s="18"/>
      <c r="L26" s="18">
        <v>940</v>
      </c>
      <c r="M26" s="18"/>
      <c r="N26" s="18"/>
      <c r="O26" s="18"/>
      <c r="P26" s="18"/>
      <c r="Q26" s="18">
        <v>940</v>
      </c>
      <c r="R26" s="18"/>
      <c r="S26" s="18"/>
      <c r="T26" s="18"/>
      <c r="U26" s="18"/>
      <c r="V26" s="18">
        <v>812</v>
      </c>
      <c r="W26" s="18"/>
      <c r="X26" s="18"/>
      <c r="Y26" s="18"/>
      <c r="Z26" s="18"/>
      <c r="AA26" s="18">
        <v>490</v>
      </c>
      <c r="AB26" s="5"/>
      <c r="AC26" s="5"/>
    </row>
    <row r="27" spans="1:29" x14ac:dyDescent="0.25">
      <c r="A27" s="24" t="s">
        <v>63</v>
      </c>
      <c r="B27" s="17" t="s">
        <v>56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5"/>
      <c r="AC27" s="5"/>
    </row>
    <row r="28" spans="1:29" x14ac:dyDescent="0.25">
      <c r="A28" s="22" t="s">
        <v>64</v>
      </c>
      <c r="B28" s="17" t="s">
        <v>56</v>
      </c>
      <c r="C28" s="18"/>
      <c r="D28" s="18"/>
      <c r="E28" s="18"/>
      <c r="F28" s="18"/>
      <c r="G28" s="18">
        <v>1031</v>
      </c>
      <c r="H28" s="18"/>
      <c r="I28" s="18"/>
      <c r="J28" s="18"/>
      <c r="K28" s="18"/>
      <c r="L28" s="18">
        <v>450</v>
      </c>
      <c r="M28" s="18"/>
      <c r="N28" s="18"/>
      <c r="O28" s="18"/>
      <c r="P28" s="18"/>
      <c r="Q28" s="18">
        <v>358</v>
      </c>
      <c r="R28" s="18"/>
      <c r="S28" s="18"/>
      <c r="T28" s="18"/>
      <c r="U28" s="18"/>
      <c r="V28" s="18">
        <v>1754</v>
      </c>
      <c r="W28" s="18"/>
      <c r="X28" s="18"/>
      <c r="Y28" s="18"/>
      <c r="Z28" s="18"/>
      <c r="AA28" s="18">
        <v>3613</v>
      </c>
      <c r="AB28" s="5"/>
      <c r="AC28" s="5"/>
    </row>
    <row r="29" spans="1:29" x14ac:dyDescent="0.25">
      <c r="A29" s="22" t="s">
        <v>65</v>
      </c>
      <c r="B29" s="17" t="s">
        <v>56</v>
      </c>
      <c r="C29" s="18"/>
      <c r="D29" s="18"/>
      <c r="E29" s="18"/>
      <c r="F29" s="18"/>
      <c r="G29" s="18">
        <v>9</v>
      </c>
      <c r="H29" s="18"/>
      <c r="I29" s="18"/>
      <c r="J29" s="18"/>
      <c r="K29" s="18"/>
      <c r="L29" s="18">
        <v>27</v>
      </c>
      <c r="M29" s="18"/>
      <c r="N29" s="18"/>
      <c r="O29" s="18"/>
      <c r="P29" s="18"/>
      <c r="Q29" s="18">
        <v>27</v>
      </c>
      <c r="R29" s="18"/>
      <c r="S29" s="18"/>
      <c r="T29" s="18"/>
      <c r="U29" s="18"/>
      <c r="V29" s="18">
        <v>357</v>
      </c>
      <c r="W29" s="18"/>
      <c r="X29" s="18"/>
      <c r="Y29" s="18"/>
      <c r="Z29" s="18"/>
      <c r="AA29" s="18">
        <v>33</v>
      </c>
      <c r="AB29" s="5"/>
      <c r="AC29" s="5"/>
    </row>
    <row r="30" spans="1:29" x14ac:dyDescent="0.25">
      <c r="A30" s="22" t="s">
        <v>66</v>
      </c>
      <c r="B30" s="18" t="s">
        <v>67</v>
      </c>
      <c r="C30" s="18"/>
      <c r="D30" s="18"/>
      <c r="E30" s="18"/>
      <c r="F30" s="18"/>
      <c r="G30" s="18"/>
      <c r="H30" s="18">
        <v>3.3</v>
      </c>
      <c r="I30" s="18">
        <v>0.6</v>
      </c>
      <c r="J30" s="18">
        <v>2</v>
      </c>
      <c r="K30" s="18"/>
      <c r="L30" s="18"/>
      <c r="M30" s="18">
        <v>2.7</v>
      </c>
      <c r="N30" s="18">
        <v>3</v>
      </c>
      <c r="O30" s="18">
        <v>1.7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5"/>
      <c r="AC30" s="5"/>
    </row>
  </sheetData>
  <mergeCells count="7">
    <mergeCell ref="R6:V6"/>
    <mergeCell ref="W6:AA6"/>
    <mergeCell ref="A8:B8"/>
    <mergeCell ref="D1:D2"/>
    <mergeCell ref="C6:G6"/>
    <mergeCell ref="H6:L6"/>
    <mergeCell ref="M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CPUT Poultry Project 2020 (2)</vt:lpstr>
      <vt:lpstr>Sheet3</vt:lpstr>
      <vt:lpstr>CPUT Poultry Project 2020</vt:lpstr>
      <vt:lpstr>PRE-TREATMENT</vt:lpstr>
      <vt:lpstr>SGBR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Halday</dc:creator>
  <cp:lastModifiedBy>user</cp:lastModifiedBy>
  <dcterms:created xsi:type="dcterms:W3CDTF">2020-07-03T15:21:20Z</dcterms:created>
  <dcterms:modified xsi:type="dcterms:W3CDTF">2021-03-18T00:23:34Z</dcterms:modified>
</cp:coreProperties>
</file>