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putacza-my.sharepoint.com/personal/mabuselab_cput_ac_za/Documents/Documents/PhD/Research/new experiments/Second experiment/"/>
    </mc:Choice>
  </mc:AlternateContent>
  <xr:revisionPtr revIDLastSave="16" documentId="13_ncr:1_{54C1D19C-5660-43AE-B9F5-C39FB79EA0EC}" xr6:coauthVersionLast="47" xr6:coauthVersionMax="47" xr10:uidLastSave="{F9D40225-B8AC-42AB-8301-686747FBE39D}"/>
  <bookViews>
    <workbookView xWindow="-108" yWindow="-108" windowWidth="23256" windowHeight="12576" activeTab="2" xr2:uid="{00000000-000D-0000-FFFF-FFFF00000000}"/>
  </bookViews>
  <sheets>
    <sheet name="quality parameters" sheetId="1" r:id="rId1"/>
    <sheet name="weights of fruits" sheetId="2" r:id="rId2"/>
    <sheet name="Ethylene and respiration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3" l="1"/>
  <c r="G20" i="3"/>
  <c r="Q19" i="3" s="1"/>
  <c r="O14" i="1"/>
  <c r="L8" i="2"/>
  <c r="L17" i="2" s="1"/>
  <c r="N8" i="2"/>
  <c r="M15" i="2"/>
  <c r="N15" i="2"/>
  <c r="L15" i="2"/>
  <c r="M18" i="2"/>
  <c r="N18" i="2"/>
  <c r="L18" i="2"/>
  <c r="M16" i="2"/>
  <c r="N16" i="2"/>
  <c r="L16" i="2"/>
  <c r="M17" i="2" l="1"/>
  <c r="N17" i="2"/>
  <c r="G7" i="2" l="1"/>
  <c r="Z9" i="1"/>
  <c r="Y9" i="1"/>
  <c r="Z8" i="1"/>
  <c r="Y8" i="1"/>
  <c r="Z7" i="1"/>
  <c r="Y7" i="1"/>
  <c r="Z6" i="1"/>
  <c r="Y6" i="1"/>
  <c r="J23" i="3"/>
  <c r="J24" i="3"/>
  <c r="J26" i="3"/>
  <c r="T22" i="3" s="1"/>
  <c r="G22" i="3"/>
  <c r="Q20" i="3" s="1"/>
  <c r="G24" i="3"/>
  <c r="G26" i="3"/>
  <c r="Q22" i="3" s="1"/>
  <c r="C26" i="3"/>
  <c r="C25" i="3"/>
  <c r="G25" i="3" s="1"/>
  <c r="Q21" i="3" s="1"/>
  <c r="C24" i="3"/>
  <c r="C23" i="3"/>
  <c r="G23" i="3" s="1"/>
  <c r="C22" i="3"/>
  <c r="J22" i="3" s="1"/>
  <c r="T20" i="3" s="1"/>
  <c r="C21" i="3"/>
  <c r="G21" i="3" s="1"/>
  <c r="C20" i="3"/>
  <c r="J20" i="3" s="1"/>
  <c r="L7" i="2"/>
  <c r="F13" i="2"/>
  <c r="F12" i="2"/>
  <c r="F10" i="2"/>
  <c r="F9" i="2"/>
  <c r="F15" i="2"/>
  <c r="L9" i="2" s="1"/>
  <c r="F7" i="2"/>
  <c r="F6" i="2"/>
  <c r="L6" i="2" s="1"/>
  <c r="S6" i="1"/>
  <c r="T15" i="1"/>
  <c r="T16" i="1"/>
  <c r="T14" i="1"/>
  <c r="T17" i="1" s="1"/>
  <c r="S16" i="1"/>
  <c r="S15" i="1"/>
  <c r="S14" i="1"/>
  <c r="S17" i="1" s="1"/>
  <c r="R16" i="1"/>
  <c r="R15" i="1"/>
  <c r="R14" i="1"/>
  <c r="R17" i="1" s="1"/>
  <c r="Q16" i="1"/>
  <c r="Q15" i="1"/>
  <c r="Q14" i="1"/>
  <c r="P14" i="1"/>
  <c r="P17" i="1" s="1"/>
  <c r="P16" i="1"/>
  <c r="P15" i="1"/>
  <c r="O16" i="1"/>
  <c r="O15" i="1"/>
  <c r="O17" i="1" s="1"/>
  <c r="Q17" i="1" l="1"/>
  <c r="J25" i="3"/>
  <c r="T21" i="3" s="1"/>
  <c r="J21" i="3"/>
  <c r="T19" i="3" s="1"/>
  <c r="L21" i="3"/>
  <c r="L23" i="3"/>
  <c r="L24" i="3"/>
  <c r="K21" i="3"/>
  <c r="K25" i="3"/>
  <c r="K26" i="3"/>
  <c r="U22" i="3" s="1"/>
  <c r="I24" i="3"/>
  <c r="U14" i="3" s="1"/>
  <c r="I25" i="3"/>
  <c r="E26" i="3"/>
  <c r="I26" i="3" s="1"/>
  <c r="S22" i="3" s="1"/>
  <c r="D26" i="3"/>
  <c r="H26" i="3" s="1"/>
  <c r="R22" i="3" s="1"/>
  <c r="E25" i="3"/>
  <c r="L25" i="3" s="1"/>
  <c r="D25" i="3"/>
  <c r="H25" i="3" s="1"/>
  <c r="E24" i="3"/>
  <c r="K24" i="3" s="1"/>
  <c r="D24" i="3"/>
  <c r="H24" i="3" s="1"/>
  <c r="T14" i="3" s="1"/>
  <c r="E23" i="3"/>
  <c r="K23" i="3" s="1"/>
  <c r="D23" i="3"/>
  <c r="H23" i="3" s="1"/>
  <c r="E22" i="3"/>
  <c r="I22" i="3" s="1"/>
  <c r="D22" i="3"/>
  <c r="H22" i="3" s="1"/>
  <c r="T13" i="3" s="1"/>
  <c r="E21" i="3"/>
  <c r="I21" i="3" s="1"/>
  <c r="D21" i="3"/>
  <c r="H21" i="3" s="1"/>
  <c r="E20" i="3"/>
  <c r="D20" i="3"/>
  <c r="W14" i="3" l="1"/>
  <c r="U21" i="3"/>
  <c r="L22" i="3"/>
  <c r="S21" i="3"/>
  <c r="I23" i="3"/>
  <c r="U13" i="3" s="1"/>
  <c r="K22" i="3"/>
  <c r="L26" i="3"/>
  <c r="V22" i="3" s="1"/>
  <c r="I20" i="3"/>
  <c r="K20" i="3"/>
  <c r="R20" i="3"/>
  <c r="X14" i="3"/>
  <c r="V21" i="3"/>
  <c r="T12" i="3"/>
  <c r="R19" i="3"/>
  <c r="L20" i="3"/>
  <c r="R21" i="3"/>
  <c r="N6" i="2"/>
  <c r="M7" i="2"/>
  <c r="H9" i="2"/>
  <c r="N7" i="2" s="1"/>
  <c r="H10" i="2"/>
  <c r="H12" i="2"/>
  <c r="H7" i="2"/>
  <c r="H6" i="2"/>
  <c r="H13" i="2"/>
  <c r="H15" i="2"/>
  <c r="G6" i="2"/>
  <c r="M6" i="2" s="1"/>
  <c r="G12" i="2"/>
  <c r="M8" i="2" s="1"/>
  <c r="G10" i="2"/>
  <c r="G9" i="2"/>
  <c r="G13" i="2"/>
  <c r="G15" i="2"/>
  <c r="U8" i="1"/>
  <c r="U7" i="1"/>
  <c r="U6" i="1"/>
  <c r="V8" i="1"/>
  <c r="V7" i="1"/>
  <c r="V6" i="1"/>
  <c r="W9" i="1"/>
  <c r="W8" i="1"/>
  <c r="W7" i="1"/>
  <c r="W6" i="1"/>
  <c r="T8" i="1"/>
  <c r="T7" i="1"/>
  <c r="T6" i="1"/>
  <c r="S8" i="1"/>
  <c r="S7" i="1"/>
  <c r="R8" i="1"/>
  <c r="R7" i="1"/>
  <c r="R6" i="1"/>
  <c r="Q8" i="1"/>
  <c r="Q7" i="1"/>
  <c r="Q6" i="1"/>
  <c r="P8" i="1"/>
  <c r="P7" i="1"/>
  <c r="P6" i="1"/>
  <c r="O8" i="1"/>
  <c r="O7" i="1"/>
  <c r="O6" i="1"/>
  <c r="W13" i="3" l="1"/>
  <c r="U20" i="3"/>
  <c r="S20" i="3"/>
  <c r="W12" i="3"/>
  <c r="U19" i="3"/>
  <c r="X13" i="3"/>
  <c r="V20" i="3"/>
  <c r="U12" i="3"/>
  <c r="S19" i="3"/>
  <c r="X12" i="3"/>
  <c r="V19" i="3"/>
</calcChain>
</file>

<file path=xl/sharedStrings.xml><?xml version="1.0" encoding="utf-8"?>
<sst xmlns="http://schemas.openxmlformats.org/spreadsheetml/2006/main" count="121" uniqueCount="29">
  <si>
    <t>Days</t>
  </si>
  <si>
    <t>5 cm (1)</t>
  </si>
  <si>
    <t>5cm (2)</t>
  </si>
  <si>
    <t>10 cm (1)</t>
  </si>
  <si>
    <t>10 cm (2)</t>
  </si>
  <si>
    <t>15 cm (1)</t>
  </si>
  <si>
    <t>15 cm (2)</t>
  </si>
  <si>
    <t>control</t>
  </si>
  <si>
    <t>TSS</t>
  </si>
  <si>
    <t>TTA</t>
  </si>
  <si>
    <t>Firmness (kg)</t>
  </si>
  <si>
    <t>5 cm</t>
  </si>
  <si>
    <t>10 cm</t>
  </si>
  <si>
    <t>15 cm</t>
  </si>
  <si>
    <t>before</t>
  </si>
  <si>
    <t>after</t>
  </si>
  <si>
    <t xml:space="preserve">before </t>
  </si>
  <si>
    <t>Ethylene production rate raw data</t>
  </si>
  <si>
    <t>Respiration rate raw data</t>
  </si>
  <si>
    <t>5 cm (2)</t>
  </si>
  <si>
    <t>Time (h)</t>
  </si>
  <si>
    <t>Ethylene production rate</t>
  </si>
  <si>
    <t>Respiration rate</t>
  </si>
  <si>
    <t>Volume (mL)</t>
  </si>
  <si>
    <t>standar deviations</t>
  </si>
  <si>
    <t>.</t>
  </si>
  <si>
    <t>Standard deviation</t>
  </si>
  <si>
    <t>weght loss</t>
  </si>
  <si>
    <t>Mass of fruits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</si>
</sst>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/>
    <xf numFmtId="0" fontId="0" fillId="2" borderId="2" xfId="0" applyFill="1" applyBorder="1"/>
    <xf numFmtId="0" fontId="0" fillId="2" borderId="0" xfId="0" applyFill="1"/>
    <xf numFmtId="0" fontId="0" fillId="2" borderId="6" xfId="0" applyFill="1" applyBorder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/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'Ethylene and respiration'!$P$19</c:f>
              <c:strCache>
                <c:ptCount val="1"/>
                <c:pt idx="0">
                  <c:v>5 cm</c:v>
                </c:pt>
              </c:strCache>
            </c:strRef>
          </c:tx>
          <c:invertIfNegative val="0"/>
          <c:cat>
            <c:numRef>
              <c:f>'Ethylene and respiration'!$Q$18:$S$18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12</c:v>
                </c:pt>
              </c:numCache>
            </c:numRef>
          </c:cat>
          <c:val>
            <c:numRef>
              <c:f>'Ethylene and respiration'!$Q$19:$S$19</c:f>
              <c:numCache>
                <c:formatCode>General</c:formatCode>
                <c:ptCount val="3"/>
                <c:pt idx="0">
                  <c:v>72.488280065870867</c:v>
                </c:pt>
                <c:pt idx="1">
                  <c:v>87.978230508324273</c:v>
                </c:pt>
                <c:pt idx="2">
                  <c:v>69.093298470441624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CD-4F13-B2E3-CBD01E52D306}"/>
            </c:ext>
          </c:extLst>
        </c:ser>
        <c:ser>
          <c:idx val="1"/>
          <c:order val="1"/>
          <c:tx>
            <c:strRef>
              <c:f>'Ethylene and respiration'!$P$20</c:f>
              <c:strCache>
                <c:ptCount val="1"/>
                <c:pt idx="0">
                  <c:v>10 cm</c:v>
                </c:pt>
              </c:strCache>
            </c:strRef>
          </c:tx>
          <c:invertIfNegative val="0"/>
          <c:cat>
            <c:numRef>
              <c:f>'Ethylene and respiration'!$Q$18:$S$18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12</c:v>
                </c:pt>
              </c:numCache>
            </c:numRef>
          </c:cat>
          <c:val>
            <c:numRef>
              <c:f>'Ethylene and respiration'!$Q$20:$S$20</c:f>
              <c:numCache>
                <c:formatCode>General</c:formatCode>
                <c:ptCount val="3"/>
                <c:pt idx="0">
                  <c:v>76.072382680578656</c:v>
                </c:pt>
                <c:pt idx="1">
                  <c:v>93.031653317181224</c:v>
                </c:pt>
                <c:pt idx="2">
                  <c:v>76.337181087077099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CD-4F13-B2E3-CBD01E52D306}"/>
            </c:ext>
          </c:extLst>
        </c:ser>
        <c:ser>
          <c:idx val="2"/>
          <c:order val="2"/>
          <c:tx>
            <c:strRef>
              <c:f>'Ethylene and respiration'!$P$21</c:f>
              <c:strCache>
                <c:ptCount val="1"/>
                <c:pt idx="0">
                  <c:v>15 cm</c:v>
                </c:pt>
              </c:strCache>
            </c:strRef>
          </c:tx>
          <c:invertIfNegative val="0"/>
          <c:cat>
            <c:numRef>
              <c:f>'Ethylene and respiration'!$Q$18:$S$18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12</c:v>
                </c:pt>
              </c:numCache>
            </c:numRef>
          </c:cat>
          <c:val>
            <c:numRef>
              <c:f>'Ethylene and respiration'!$Q$21:$S$21</c:f>
              <c:numCache>
                <c:formatCode>General</c:formatCode>
                <c:ptCount val="3"/>
                <c:pt idx="0">
                  <c:v>85.058777506112463</c:v>
                </c:pt>
                <c:pt idx="1">
                  <c:v>67.797282496077685</c:v>
                </c:pt>
                <c:pt idx="2">
                  <c:v>76.499055664994614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CD-4F13-B2E3-CBD01E52D306}"/>
            </c:ext>
          </c:extLst>
        </c:ser>
        <c:ser>
          <c:idx val="3"/>
          <c:order val="3"/>
          <c:tx>
            <c:strRef>
              <c:f>'Ethylene and respiration'!$P$22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numRef>
              <c:f>'Ethylene and respiration'!$Q$18:$S$18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12</c:v>
                </c:pt>
              </c:numCache>
            </c:numRef>
          </c:cat>
          <c:val>
            <c:numRef>
              <c:f>'Ethylene and respiration'!$Q$22:$S$22</c:f>
              <c:numCache>
                <c:formatCode>General</c:formatCode>
                <c:ptCount val="3"/>
                <c:pt idx="0">
                  <c:v>87.034035656401954</c:v>
                </c:pt>
                <c:pt idx="1">
                  <c:v>68.892508143322488</c:v>
                </c:pt>
                <c:pt idx="2">
                  <c:v>100.52083333333333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CD-4F13-B2E3-CBD01E52D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51200"/>
        <c:axId val="89257088"/>
      </c:barChart>
      <c:catAx>
        <c:axId val="8925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Storage</a:t>
                </a:r>
                <a:r>
                  <a:rPr lang="en-US" baseline="0"/>
                  <a:t> duration (days)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257088"/>
        <c:crosses val="autoZero"/>
        <c:auto val="1"/>
        <c:lblAlgn val="ctr"/>
        <c:lblOffset val="100"/>
        <c:noMultiLvlLbl val="0"/>
      </c:catAx>
      <c:valAx>
        <c:axId val="89257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Ethylene</a:t>
                </a:r>
                <a:r>
                  <a:rPr lang="en-US" baseline="0"/>
                  <a:t> production rate (</a:t>
                </a:r>
                <a:r>
                  <a:rPr lang="en-US" sz="1100"/>
                  <a:t>µL/g h)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251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'Ethylene and respiration'!$Q$25</c:f>
              <c:strCache>
                <c:ptCount val="1"/>
                <c:pt idx="0">
                  <c:v>5 cm</c:v>
                </c:pt>
              </c:strCache>
            </c:strRef>
          </c:tx>
          <c:invertIfNegative val="0"/>
          <c:cat>
            <c:numRef>
              <c:f>'Ethylene and respiration'!$P$26:$P$28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12</c:v>
                </c:pt>
              </c:numCache>
            </c:numRef>
          </c:cat>
          <c:val>
            <c:numRef>
              <c:f>'Ethylene and respiration'!$Q$26:$Q$28</c:f>
              <c:numCache>
                <c:formatCode>General</c:formatCode>
                <c:ptCount val="3"/>
                <c:pt idx="0">
                  <c:v>0.51700000000000002</c:v>
                </c:pt>
                <c:pt idx="1">
                  <c:v>0.68400000000000005</c:v>
                </c:pt>
                <c:pt idx="2">
                  <c:v>0.46700000000000003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F1-41E6-A838-EF2BF910141F}"/>
            </c:ext>
          </c:extLst>
        </c:ser>
        <c:ser>
          <c:idx val="1"/>
          <c:order val="1"/>
          <c:tx>
            <c:strRef>
              <c:f>'Ethylene and respiration'!$R$25</c:f>
              <c:strCache>
                <c:ptCount val="1"/>
                <c:pt idx="0">
                  <c:v>10 cm</c:v>
                </c:pt>
              </c:strCache>
            </c:strRef>
          </c:tx>
          <c:invertIfNegative val="0"/>
          <c:cat>
            <c:numRef>
              <c:f>'Ethylene and respiration'!$P$26:$P$28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12</c:v>
                </c:pt>
              </c:numCache>
            </c:numRef>
          </c:cat>
          <c:val>
            <c:numRef>
              <c:f>'Ethylene and respiration'!$R$26:$R$28</c:f>
              <c:numCache>
                <c:formatCode>General</c:formatCode>
                <c:ptCount val="3"/>
                <c:pt idx="0">
                  <c:v>0.97599999999999998</c:v>
                </c:pt>
                <c:pt idx="1">
                  <c:v>0.78800000000000003</c:v>
                </c:pt>
                <c:pt idx="2">
                  <c:v>0.58599999999999997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F1-41E6-A838-EF2BF910141F}"/>
            </c:ext>
          </c:extLst>
        </c:ser>
        <c:ser>
          <c:idx val="2"/>
          <c:order val="2"/>
          <c:tx>
            <c:strRef>
              <c:f>'Ethylene and respiration'!$S$25</c:f>
              <c:strCache>
                <c:ptCount val="1"/>
                <c:pt idx="0">
                  <c:v>15 cm</c:v>
                </c:pt>
              </c:strCache>
            </c:strRef>
          </c:tx>
          <c:invertIfNegative val="0"/>
          <c:cat>
            <c:numRef>
              <c:f>'Ethylene and respiration'!$P$26:$P$28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12</c:v>
                </c:pt>
              </c:numCache>
            </c:numRef>
          </c:cat>
          <c:val>
            <c:numRef>
              <c:f>'Ethylene and respiration'!$S$26:$S$28</c:f>
              <c:numCache>
                <c:formatCode>General</c:formatCode>
                <c:ptCount val="3"/>
                <c:pt idx="0">
                  <c:v>0.55700000000000005</c:v>
                </c:pt>
                <c:pt idx="1">
                  <c:v>0.64</c:v>
                </c:pt>
                <c:pt idx="2">
                  <c:v>0.47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F1-41E6-A838-EF2BF910141F}"/>
            </c:ext>
          </c:extLst>
        </c:ser>
        <c:ser>
          <c:idx val="3"/>
          <c:order val="3"/>
          <c:tx>
            <c:strRef>
              <c:f>'Ethylene and respiration'!$T$25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cat>
            <c:numRef>
              <c:f>'Ethylene and respiration'!$P$26:$P$28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12</c:v>
                </c:pt>
              </c:numCache>
            </c:numRef>
          </c:cat>
          <c:val>
            <c:numRef>
              <c:f>'Ethylene and respiration'!$T$26:$T$28</c:f>
              <c:numCache>
                <c:formatCode>General</c:formatCode>
                <c:ptCount val="3"/>
                <c:pt idx="0">
                  <c:v>0.63200000000000001</c:v>
                </c:pt>
                <c:pt idx="1">
                  <c:v>0.46899999999999997</c:v>
                </c:pt>
                <c:pt idx="2">
                  <c:v>0.83299999999999996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F1-41E6-A838-EF2BF9101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595648"/>
        <c:axId val="87606016"/>
      </c:barChart>
      <c:catAx>
        <c:axId val="8759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Storage</a:t>
                </a:r>
                <a:r>
                  <a:rPr lang="en-US" baseline="0"/>
                  <a:t> duration (days)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606016"/>
        <c:crosses val="autoZero"/>
        <c:auto val="1"/>
        <c:lblAlgn val="ctr"/>
        <c:lblOffset val="100"/>
        <c:noMultiLvlLbl val="0"/>
      </c:catAx>
      <c:valAx>
        <c:axId val="87606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Respiration</a:t>
                </a:r>
                <a:r>
                  <a:rPr lang="en-US" baseline="0"/>
                  <a:t> rate (mL/g h)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759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123825</xdr:colOff>
      <xdr:row>29</xdr:row>
      <xdr:rowOff>152400</xdr:rowOff>
    </xdr:from>
    <xdr:to>
      <xdr:col>18</xdr:col>
      <xdr:colOff>1038225</xdr:colOff>
      <xdr:row>44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457200</xdr:colOff>
      <xdr:row>28</xdr:row>
      <xdr:rowOff>104775</xdr:rowOff>
    </xdr:from>
    <xdr:to>
      <xdr:col>11</xdr:col>
      <xdr:colOff>152400</xdr:colOff>
      <xdr:row>42</xdr:row>
      <xdr:rowOff>180975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AE26"/>
  <sheetViews>
    <sheetView topLeftCell="H1" workbookViewId="0">
      <selection activeCell="O16" sqref="O16"/>
    </sheetView>
  </sheetViews>
  <sheetFormatPr defaultRowHeight="14.4" x14ac:dyDescent="0.3"/>
  <cols>
    <col min="6" max="6" width="12.88671875" bestFit="1" customWidth="1"/>
    <col min="9" max="9" width="12.88671875" bestFit="1" customWidth="1"/>
    <col min="12" max="12" width="12.88671875" bestFit="1" customWidth="1"/>
    <col min="14" max="14" width="17.88671875" bestFit="1" customWidth="1"/>
    <col min="24" max="24" width="10.44140625" bestFit="1" customWidth="1"/>
  </cols>
  <sheetData>
    <row r="3" spans="3:31" x14ac:dyDescent="0.3">
      <c r="D3" s="11" t="s">
        <v>0</v>
      </c>
      <c r="E3" s="11"/>
      <c r="F3" s="11"/>
      <c r="G3" s="11"/>
      <c r="H3" s="11"/>
      <c r="I3" s="11"/>
      <c r="J3" s="20"/>
      <c r="K3" s="20"/>
      <c r="L3" s="20"/>
    </row>
    <row r="4" spans="3:31" x14ac:dyDescent="0.3">
      <c r="D4" s="20">
        <v>3</v>
      </c>
      <c r="E4" s="11"/>
      <c r="F4" s="21"/>
      <c r="G4" s="22">
        <v>6</v>
      </c>
      <c r="H4" s="11"/>
      <c r="I4" s="21"/>
      <c r="J4" s="11">
        <v>12</v>
      </c>
      <c r="K4" s="11"/>
      <c r="L4" s="20"/>
      <c r="N4" s="5"/>
      <c r="O4" s="13" t="s">
        <v>8</v>
      </c>
      <c r="P4" s="13"/>
      <c r="Q4" s="14"/>
      <c r="R4" s="15" t="s">
        <v>9</v>
      </c>
      <c r="S4" s="13"/>
      <c r="T4" s="14"/>
      <c r="U4" s="15" t="s">
        <v>10</v>
      </c>
      <c r="V4" s="13"/>
      <c r="W4" s="14"/>
      <c r="X4" s="26" t="s">
        <v>27</v>
      </c>
      <c r="Y4" s="17"/>
      <c r="Z4" s="17"/>
    </row>
    <row r="5" spans="3:31" x14ac:dyDescent="0.3">
      <c r="D5" s="23" t="s">
        <v>8</v>
      </c>
      <c r="E5" s="23" t="s">
        <v>9</v>
      </c>
      <c r="F5" s="24" t="s">
        <v>10</v>
      </c>
      <c r="G5" s="24" t="s">
        <v>8</v>
      </c>
      <c r="H5" s="24" t="s">
        <v>9</v>
      </c>
      <c r="I5" s="24" t="s">
        <v>10</v>
      </c>
      <c r="J5" s="24" t="s">
        <v>8</v>
      </c>
      <c r="K5" s="25" t="s">
        <v>9</v>
      </c>
      <c r="L5" s="25" t="s">
        <v>10</v>
      </c>
      <c r="N5" s="6"/>
      <c r="O5" s="7">
        <v>3</v>
      </c>
      <c r="P5" s="7">
        <v>6</v>
      </c>
      <c r="Q5" s="7">
        <v>12</v>
      </c>
      <c r="R5" s="7">
        <v>3</v>
      </c>
      <c r="S5" s="7">
        <v>6</v>
      </c>
      <c r="T5" s="7">
        <v>12</v>
      </c>
      <c r="U5" s="7">
        <v>3</v>
      </c>
      <c r="V5" s="7">
        <v>6</v>
      </c>
      <c r="W5" s="7">
        <v>12</v>
      </c>
      <c r="X5" s="7">
        <v>3</v>
      </c>
      <c r="Y5" s="7">
        <v>6</v>
      </c>
      <c r="Z5" s="7">
        <v>12</v>
      </c>
    </row>
    <row r="6" spans="3:31" x14ac:dyDescent="0.3">
      <c r="C6" t="s">
        <v>1</v>
      </c>
      <c r="D6">
        <v>12.9</v>
      </c>
      <c r="E6">
        <v>0.39300000000000002</v>
      </c>
      <c r="F6">
        <v>6.5750000000000002</v>
      </c>
      <c r="G6">
        <v>11.5</v>
      </c>
      <c r="H6">
        <v>0.32</v>
      </c>
      <c r="I6">
        <v>6.6669999999999998</v>
      </c>
      <c r="J6">
        <v>12.9</v>
      </c>
      <c r="K6">
        <v>0.28000000000000003</v>
      </c>
      <c r="L6">
        <v>5.9390000000000001</v>
      </c>
      <c r="N6" t="s">
        <v>11</v>
      </c>
      <c r="O6">
        <f>AVERAGE(D6:D7)</f>
        <v>12.350000000000001</v>
      </c>
      <c r="P6">
        <f>AVERAGE(G6:G7)</f>
        <v>12.05</v>
      </c>
      <c r="Q6">
        <f>AVERAGE(J6:J7)</f>
        <v>13.05</v>
      </c>
      <c r="R6">
        <f>AVERAGE(E6:E7)</f>
        <v>0.371</v>
      </c>
      <c r="S6">
        <f>AVERAGE(H6:H7)</f>
        <v>0.36099999999999999</v>
      </c>
      <c r="T6">
        <f>AVERAGE(K6:K7)</f>
        <v>0.27400000000000002</v>
      </c>
      <c r="U6">
        <f>AVERAGE(F6:F7)</f>
        <v>6.6594999999999995</v>
      </c>
      <c r="V6">
        <f>AVERAGE(I6:I7)</f>
        <v>6.8639999999999999</v>
      </c>
      <c r="W6">
        <f>AVERAGE(L6:L7)</f>
        <v>5.8324999999999996</v>
      </c>
      <c r="Y6">
        <f>(($AC$15-AD15)/$AC$15)*100</f>
        <v>0.36182722749886931</v>
      </c>
      <c r="Z6">
        <f>(($AC$15-AE15)/$AC$15)*100</f>
        <v>1.8091361374943467</v>
      </c>
    </row>
    <row r="7" spans="3:31" x14ac:dyDescent="0.3">
      <c r="C7" t="s">
        <v>2</v>
      </c>
      <c r="D7">
        <v>11.8</v>
      </c>
      <c r="E7">
        <v>0.34899999999999998</v>
      </c>
      <c r="F7">
        <v>6.7439999999999998</v>
      </c>
      <c r="G7">
        <v>12.6</v>
      </c>
      <c r="H7">
        <v>0.40200000000000002</v>
      </c>
      <c r="I7">
        <v>7.0609999999999999</v>
      </c>
      <c r="J7">
        <v>13.2</v>
      </c>
      <c r="K7">
        <v>0.26800000000000002</v>
      </c>
      <c r="L7">
        <v>5.726</v>
      </c>
      <c r="N7" t="s">
        <v>12</v>
      </c>
      <c r="O7">
        <f>AVERAGE(D9:D10)</f>
        <v>13.05</v>
      </c>
      <c r="P7">
        <f>AVERAGE(G9:G10)</f>
        <v>12.1</v>
      </c>
      <c r="Q7">
        <f>AVERAGE(J9:J10)</f>
        <v>12.649999999999999</v>
      </c>
      <c r="R7">
        <f>AVERAGE(E9:E10)</f>
        <v>0.40200000000000002</v>
      </c>
      <c r="S7">
        <f>AVERAGE(H9:H10)</f>
        <v>0.40549999999999997</v>
      </c>
      <c r="T7">
        <f>AVERAGE(K9:K10)</f>
        <v>0.27650000000000002</v>
      </c>
      <c r="U7">
        <f>AVERAGE(F9:F10)</f>
        <v>6.6909999999999998</v>
      </c>
      <c r="V7">
        <f>AVERAGE(I9:I10)</f>
        <v>6.6530000000000005</v>
      </c>
      <c r="W7">
        <f>AVERAGE(L9:L10)</f>
        <v>6.2755000000000001</v>
      </c>
      <c r="Y7">
        <f>(($AC$16-AD16)/$AC$16)*100</f>
        <v>0.41823504809703055</v>
      </c>
      <c r="Z7">
        <f>(($AC$16-AE16)/$AC$16)*100</f>
        <v>1.5474696779590129</v>
      </c>
    </row>
    <row r="8" spans="3:31" x14ac:dyDescent="0.3">
      <c r="N8" t="s">
        <v>13</v>
      </c>
      <c r="O8">
        <f>AVERAGE(D12:D13)</f>
        <v>12.7</v>
      </c>
      <c r="P8">
        <f>AVERAGE(G12:G13)</f>
        <v>12.55</v>
      </c>
      <c r="Q8">
        <f>AVERAGE(J12:J13)</f>
        <v>13.2</v>
      </c>
      <c r="R8">
        <f>AVERAGE(E12:E13)</f>
        <v>0.38200000000000001</v>
      </c>
      <c r="S8">
        <f>AVERAGE(H12:H13)</f>
        <v>0.36749999999999999</v>
      </c>
      <c r="T8">
        <f>AVERAGE(K12:K13)</f>
        <v>0.30599999999999999</v>
      </c>
      <c r="U8">
        <f>AVERAGE(F12:F13)</f>
        <v>6.6795</v>
      </c>
      <c r="V8">
        <f>AVERAGE(I12:I13)</f>
        <v>6.8484999999999996</v>
      </c>
      <c r="W8">
        <f>AVERAGE(L12:L13)</f>
        <v>6.3304999999999998</v>
      </c>
      <c r="Y8">
        <f>(($AC$17-AD17)/$AC$17)*100</f>
        <v>0.44408558740411785</v>
      </c>
      <c r="Z8">
        <f>(($AC$17-AE17)/$AC$17)*100</f>
        <v>1.8570851836899476</v>
      </c>
    </row>
    <row r="9" spans="3:31" x14ac:dyDescent="0.3">
      <c r="C9" t="s">
        <v>3</v>
      </c>
      <c r="D9">
        <v>12.8</v>
      </c>
      <c r="E9">
        <v>0.35599999999999998</v>
      </c>
      <c r="F9">
        <v>6.63</v>
      </c>
      <c r="G9">
        <v>12.2</v>
      </c>
      <c r="H9">
        <v>0.40799999999999997</v>
      </c>
      <c r="I9">
        <v>6.9130000000000003</v>
      </c>
      <c r="J9">
        <v>12.1</v>
      </c>
      <c r="K9">
        <v>0.27600000000000002</v>
      </c>
      <c r="L9">
        <v>6.4569999999999999</v>
      </c>
      <c r="N9" t="s">
        <v>7</v>
      </c>
      <c r="O9">
        <v>11.9</v>
      </c>
      <c r="P9">
        <v>12.1</v>
      </c>
      <c r="Q9">
        <v>12.9</v>
      </c>
      <c r="R9">
        <v>0.47199999999999998</v>
      </c>
      <c r="S9">
        <v>0.39300000000000002</v>
      </c>
      <c r="T9">
        <v>0.27300000000000002</v>
      </c>
      <c r="U9">
        <v>6.516</v>
      </c>
      <c r="V9">
        <v>6.8780000000000001</v>
      </c>
      <c r="W9">
        <f>6.411</f>
        <v>6.4109999999999996</v>
      </c>
      <c r="Y9">
        <f>(($AC$18-AD18)/$AC$18)*100</f>
        <v>0.48622366288492713</v>
      </c>
      <c r="Z9">
        <f>(($AC$18-AE18)/$AC$18)*100</f>
        <v>6.8071312803889779</v>
      </c>
    </row>
    <row r="10" spans="3:31" x14ac:dyDescent="0.3">
      <c r="C10" t="s">
        <v>4</v>
      </c>
      <c r="D10">
        <v>13.3</v>
      </c>
      <c r="E10">
        <v>0.44800000000000001</v>
      </c>
      <c r="F10">
        <v>6.7519999999999998</v>
      </c>
      <c r="G10">
        <v>12</v>
      </c>
      <c r="H10">
        <v>0.40300000000000002</v>
      </c>
      <c r="I10">
        <v>6.3929999999999998</v>
      </c>
      <c r="J10">
        <v>13.2</v>
      </c>
      <c r="K10">
        <v>0.27700000000000002</v>
      </c>
      <c r="L10">
        <v>6.0940000000000003</v>
      </c>
    </row>
    <row r="11" spans="3:31" x14ac:dyDescent="0.3">
      <c r="N11" s="4"/>
      <c r="O11" s="12" t="s">
        <v>24</v>
      </c>
      <c r="P11" s="12"/>
      <c r="Q11" s="12"/>
      <c r="R11" s="12"/>
      <c r="S11" s="12"/>
      <c r="T11" s="12"/>
    </row>
    <row r="12" spans="3:31" x14ac:dyDescent="0.3">
      <c r="C12" t="s">
        <v>5</v>
      </c>
      <c r="D12">
        <v>12.7</v>
      </c>
      <c r="E12">
        <v>0.39200000000000002</v>
      </c>
      <c r="F12">
        <v>6.5629999999999997</v>
      </c>
      <c r="G12">
        <v>12</v>
      </c>
      <c r="H12">
        <v>0.308</v>
      </c>
      <c r="I12">
        <v>6.5179999999999998</v>
      </c>
      <c r="J12">
        <v>13.3</v>
      </c>
      <c r="K12">
        <v>0.30399999999999999</v>
      </c>
      <c r="L12">
        <v>6.17</v>
      </c>
      <c r="N12" s="4"/>
      <c r="O12" s="12" t="s">
        <v>8</v>
      </c>
      <c r="P12" s="12"/>
      <c r="Q12" s="12"/>
      <c r="R12" s="12" t="s">
        <v>9</v>
      </c>
      <c r="S12" s="12"/>
      <c r="T12" s="12"/>
      <c r="AB12" s="9"/>
      <c r="AC12" s="11" t="s">
        <v>28</v>
      </c>
      <c r="AD12" s="11"/>
      <c r="AE12" s="11"/>
    </row>
    <row r="13" spans="3:31" x14ac:dyDescent="0.3">
      <c r="C13" t="s">
        <v>6</v>
      </c>
      <c r="D13">
        <v>12.7</v>
      </c>
      <c r="E13">
        <v>0.372</v>
      </c>
      <c r="F13">
        <v>6.7960000000000003</v>
      </c>
      <c r="G13">
        <v>13.1</v>
      </c>
      <c r="H13">
        <v>0.42699999999999999</v>
      </c>
      <c r="I13">
        <v>7.1790000000000003</v>
      </c>
      <c r="J13">
        <v>13.1</v>
      </c>
      <c r="K13">
        <v>0.308</v>
      </c>
      <c r="L13">
        <v>6.4909999999999997</v>
      </c>
      <c r="O13" s="1">
        <v>3</v>
      </c>
      <c r="P13" s="1">
        <v>6</v>
      </c>
      <c r="Q13" s="1">
        <v>12</v>
      </c>
      <c r="R13" s="1">
        <v>3</v>
      </c>
      <c r="S13" s="1">
        <v>6</v>
      </c>
      <c r="T13" s="1">
        <v>12</v>
      </c>
      <c r="AB13" s="9"/>
      <c r="AC13" s="11" t="s">
        <v>0</v>
      </c>
      <c r="AD13" s="11"/>
      <c r="AE13" s="11"/>
    </row>
    <row r="14" spans="3:31" x14ac:dyDescent="0.3">
      <c r="N14" t="s">
        <v>11</v>
      </c>
      <c r="O14">
        <f>STDEV(D6:D7)</f>
        <v>0.77781745930520196</v>
      </c>
      <c r="P14">
        <f>STDEV(G6:G7)</f>
        <v>0.77781745930520196</v>
      </c>
      <c r="Q14">
        <f>STDEV(J6:J7)</f>
        <v>0.21213203435596351</v>
      </c>
      <c r="R14">
        <f>STDEV(E6:E7)</f>
        <v>3.111269837220812E-2</v>
      </c>
      <c r="S14">
        <f>STDEV(H6:H7)</f>
        <v>5.798275605729717E-2</v>
      </c>
      <c r="T14">
        <f>STDEV(K6:K7)</f>
        <v>8.4852813742385784E-3</v>
      </c>
      <c r="U14" t="s">
        <v>11</v>
      </c>
      <c r="AB14" s="8"/>
      <c r="AC14" s="8">
        <v>3</v>
      </c>
      <c r="AD14" s="8">
        <v>6</v>
      </c>
      <c r="AE14" s="8">
        <v>12</v>
      </c>
    </row>
    <row r="15" spans="3:31" x14ac:dyDescent="0.3">
      <c r="C15" t="s">
        <v>7</v>
      </c>
      <c r="D15">
        <v>11.9</v>
      </c>
      <c r="E15">
        <v>0.47199999999999998</v>
      </c>
      <c r="F15">
        <v>6.516</v>
      </c>
      <c r="G15">
        <v>12.1</v>
      </c>
      <c r="H15">
        <v>0.39300000000000002</v>
      </c>
      <c r="I15">
        <v>6.8780000000000001</v>
      </c>
      <c r="J15">
        <v>12.9</v>
      </c>
      <c r="K15">
        <v>0.27300000000000002</v>
      </c>
      <c r="L15">
        <v>6.4109999999999996</v>
      </c>
      <c r="N15" t="s">
        <v>12</v>
      </c>
      <c r="O15">
        <f>STDEV(D9:D10)</f>
        <v>0.35355339059327379</v>
      </c>
      <c r="P15">
        <f>STDEV(G9:G10)</f>
        <v>0.141421356237309</v>
      </c>
      <c r="Q15">
        <f>STDEV(J9:J10)</f>
        <v>0.77781745930520196</v>
      </c>
      <c r="R15">
        <f>STDEV(E9:E10)</f>
        <v>6.5053823869162045E-2</v>
      </c>
      <c r="S15">
        <f>STDEV(H9:H10)</f>
        <v>3.5355339059327017E-3</v>
      </c>
      <c r="T15">
        <f>STDEV(K9:K10)</f>
        <v>7.0710678118654816E-4</v>
      </c>
      <c r="U15" t="s">
        <v>12</v>
      </c>
      <c r="AB15" t="s">
        <v>11</v>
      </c>
      <c r="AC15">
        <v>552.75</v>
      </c>
      <c r="AD15">
        <v>550.75</v>
      </c>
      <c r="AE15">
        <v>542.75</v>
      </c>
    </row>
    <row r="16" spans="3:31" x14ac:dyDescent="0.3">
      <c r="N16" t="s">
        <v>13</v>
      </c>
      <c r="O16">
        <f>STDEV(D12:D13)</f>
        <v>0</v>
      </c>
      <c r="P16">
        <f>STDEV(G12:G13)</f>
        <v>0.77781745930520196</v>
      </c>
      <c r="Q16">
        <f>STDEV(J12:J13)</f>
        <v>0.14142135623731025</v>
      </c>
      <c r="R16">
        <f>STDEV(E12:E13)</f>
        <v>1.4142135623730963E-2</v>
      </c>
      <c r="S16">
        <f>STDEV(H12:H13)</f>
        <v>8.4145706961199426E-2</v>
      </c>
      <c r="T16">
        <f>STDEV(K12:K13)</f>
        <v>2.8284271247461927E-3</v>
      </c>
      <c r="U16" t="s">
        <v>13</v>
      </c>
      <c r="AB16" t="s">
        <v>12</v>
      </c>
      <c r="AC16">
        <v>597.75</v>
      </c>
      <c r="AD16">
        <v>595.25</v>
      </c>
      <c r="AE16">
        <v>588.5</v>
      </c>
    </row>
    <row r="17" spans="14:31" x14ac:dyDescent="0.3">
      <c r="N17" t="s">
        <v>7</v>
      </c>
      <c r="O17">
        <f>AVERAGE(O14:O15)</f>
        <v>0.5656854249492379</v>
      </c>
      <c r="P17">
        <f t="shared" ref="P17:T17" si="0">AVERAGE(P14:P15)</f>
        <v>0.45961940777125548</v>
      </c>
      <c r="Q17">
        <f t="shared" si="0"/>
        <v>0.49497474683058273</v>
      </c>
      <c r="R17">
        <f t="shared" si="0"/>
        <v>4.8083261120685082E-2</v>
      </c>
      <c r="S17">
        <f t="shared" si="0"/>
        <v>3.0759144981614937E-2</v>
      </c>
      <c r="T17">
        <f t="shared" si="0"/>
        <v>4.5961940777125634E-3</v>
      </c>
      <c r="U17" t="s">
        <v>7</v>
      </c>
      <c r="AB17" t="s">
        <v>13</v>
      </c>
      <c r="AC17">
        <v>619.25</v>
      </c>
      <c r="AD17">
        <v>616.5</v>
      </c>
      <c r="AE17">
        <v>607.75</v>
      </c>
    </row>
    <row r="18" spans="14:31" x14ac:dyDescent="0.3">
      <c r="AB18" t="s">
        <v>7</v>
      </c>
      <c r="AC18">
        <v>617</v>
      </c>
      <c r="AD18">
        <v>614</v>
      </c>
      <c r="AE18">
        <v>575</v>
      </c>
    </row>
    <row r="26" spans="14:31" x14ac:dyDescent="0.3">
      <c r="Y26" t="s">
        <v>25</v>
      </c>
    </row>
  </sheetData>
  <mergeCells count="13">
    <mergeCell ref="D3:L3"/>
    <mergeCell ref="D4:F4"/>
    <mergeCell ref="G4:I4"/>
    <mergeCell ref="J4:L4"/>
    <mergeCell ref="AC13:AE13"/>
    <mergeCell ref="AC12:AE12"/>
    <mergeCell ref="O12:Q12"/>
    <mergeCell ref="R12:T12"/>
    <mergeCell ref="O4:Q4"/>
    <mergeCell ref="R4:T4"/>
    <mergeCell ref="U4:W4"/>
    <mergeCell ref="O11:T11"/>
    <mergeCell ref="X4:Z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N27"/>
  <sheetViews>
    <sheetView topLeftCell="A3" workbookViewId="0">
      <selection activeCell="D7" sqref="D7"/>
    </sheetView>
  </sheetViews>
  <sheetFormatPr defaultRowHeight="14.4" x14ac:dyDescent="0.3"/>
  <sheetData>
    <row r="4" spans="4:14" x14ac:dyDescent="0.3">
      <c r="F4" s="16" t="s">
        <v>0</v>
      </c>
      <c r="G4" s="16"/>
      <c r="H4" s="16"/>
      <c r="L4" s="16" t="s">
        <v>0</v>
      </c>
      <c r="M4" s="16"/>
      <c r="N4" s="16"/>
    </row>
    <row r="5" spans="4:14" x14ac:dyDescent="0.3">
      <c r="F5">
        <v>3</v>
      </c>
      <c r="G5">
        <v>6</v>
      </c>
      <c r="H5">
        <v>12</v>
      </c>
      <c r="L5">
        <v>3</v>
      </c>
      <c r="M5">
        <v>6</v>
      </c>
      <c r="N5">
        <v>12</v>
      </c>
    </row>
    <row r="6" spans="4:14" x14ac:dyDescent="0.3">
      <c r="E6" t="s">
        <v>1</v>
      </c>
      <c r="F6">
        <f>134+130.5+148+160</f>
        <v>572.5</v>
      </c>
      <c r="G6">
        <f>147.5+133.5+160+130</f>
        <v>571</v>
      </c>
      <c r="H6">
        <f>146+128.5+158+132</f>
        <v>564.5</v>
      </c>
      <c r="K6" t="s">
        <v>11</v>
      </c>
      <c r="L6">
        <f>AVERAGE(F6:F7)</f>
        <v>552.75</v>
      </c>
      <c r="M6">
        <f>AVERAGE(G6:G7)</f>
        <v>550.75</v>
      </c>
      <c r="N6">
        <f>AVERAGE(H6:H7)</f>
        <v>542.75</v>
      </c>
    </row>
    <row r="7" spans="4:14" x14ac:dyDescent="0.3">
      <c r="D7">
        <v>135.5</v>
      </c>
      <c r="E7" t="s">
        <v>2</v>
      </c>
      <c r="F7">
        <f>136+132.5+133+131.5</f>
        <v>533</v>
      </c>
      <c r="G7">
        <f>132+131.5+131.5+135.5</f>
        <v>530.5</v>
      </c>
      <c r="H7">
        <f>129.5+132.5+128.5+130.5</f>
        <v>521</v>
      </c>
      <c r="K7" t="s">
        <v>12</v>
      </c>
      <c r="L7">
        <f>AVERAGE(F9:F10)</f>
        <v>597.75</v>
      </c>
      <c r="M7">
        <f>AVERAGE(G9:G10)</f>
        <v>595.25</v>
      </c>
      <c r="N7">
        <f>AVERAGE(H9:H10)</f>
        <v>588.5</v>
      </c>
    </row>
    <row r="8" spans="4:14" x14ac:dyDescent="0.3">
      <c r="K8" t="s">
        <v>13</v>
      </c>
      <c r="L8">
        <f>AVERAGE(F12:F13)</f>
        <v>619.25</v>
      </c>
      <c r="M8">
        <f>AVERAGE(G12:G13)</f>
        <v>616.5</v>
      </c>
      <c r="N8">
        <f>AVERAGE(H12:H13)</f>
        <v>607.75</v>
      </c>
    </row>
    <row r="9" spans="4:14" x14ac:dyDescent="0.3">
      <c r="E9" t="s">
        <v>3</v>
      </c>
      <c r="F9">
        <f>151.5+122.5+169+140.5</f>
        <v>583.5</v>
      </c>
      <c r="G9">
        <f>168.5+140+151+122</f>
        <v>581.5</v>
      </c>
      <c r="H9">
        <f>149.5+139+120.5+167</f>
        <v>576</v>
      </c>
      <c r="K9" t="s">
        <v>7</v>
      </c>
      <c r="L9">
        <f>AVERAGE(F15)</f>
        <v>617</v>
      </c>
      <c r="M9">
        <v>614</v>
      </c>
      <c r="N9">
        <v>575</v>
      </c>
    </row>
    <row r="10" spans="4:14" x14ac:dyDescent="0.3">
      <c r="E10" t="s">
        <v>4</v>
      </c>
      <c r="F10">
        <f>140+141+136.5+194.5</f>
        <v>612</v>
      </c>
      <c r="G10">
        <f>140.5+139.5+193.5+135.5</f>
        <v>609</v>
      </c>
      <c r="H10">
        <f>191+138.5+134+137.5</f>
        <v>601</v>
      </c>
    </row>
    <row r="12" spans="4:14" x14ac:dyDescent="0.3">
      <c r="E12" t="s">
        <v>5</v>
      </c>
      <c r="F12">
        <f>131.5+146.5+172+175</f>
        <v>625</v>
      </c>
      <c r="G12">
        <f>171+131+146+174.5</f>
        <v>622.5</v>
      </c>
      <c r="H12">
        <f>129.5+169+144.5+172</f>
        <v>615</v>
      </c>
    </row>
    <row r="13" spans="4:14" x14ac:dyDescent="0.3">
      <c r="E13" t="s">
        <v>6</v>
      </c>
      <c r="F13">
        <f>191.5+125.5+149+147.5</f>
        <v>613.5</v>
      </c>
      <c r="G13">
        <f>190.5+148.5+146.5+125</f>
        <v>610.5</v>
      </c>
      <c r="H13">
        <f>146+122.5+188+144</f>
        <v>600.5</v>
      </c>
    </row>
    <row r="15" spans="4:14" x14ac:dyDescent="0.3">
      <c r="E15" t="s">
        <v>7</v>
      </c>
      <c r="F15">
        <f>180.5+126+168+142.5</f>
        <v>617</v>
      </c>
      <c r="G15">
        <f>141.5+179.5+167.5+125.5</f>
        <v>614</v>
      </c>
      <c r="H15">
        <f>149.5+139+120.5+167</f>
        <v>576</v>
      </c>
      <c r="K15" t="s">
        <v>11</v>
      </c>
      <c r="L15">
        <f>(($L$6-L6)/$L$6)*100</f>
        <v>0</v>
      </c>
      <c r="M15">
        <f t="shared" ref="M15:N15" si="0">(($L$6-M6)/$L$6)*100</f>
        <v>0.36182722749886931</v>
      </c>
      <c r="N15">
        <f t="shared" si="0"/>
        <v>1.8091361374943467</v>
      </c>
    </row>
    <row r="16" spans="4:14" x14ac:dyDescent="0.3">
      <c r="K16" t="s">
        <v>12</v>
      </c>
      <c r="L16">
        <f>(($L$7-L7)/$L$7)*100</f>
        <v>0</v>
      </c>
      <c r="M16">
        <f t="shared" ref="M16:N16" si="1">(($L$7-M7)/$L$7)*100</f>
        <v>0.41823504809703055</v>
      </c>
      <c r="N16">
        <f t="shared" si="1"/>
        <v>1.5474696779590129</v>
      </c>
    </row>
    <row r="17" spans="11:14" x14ac:dyDescent="0.3">
      <c r="K17" t="s">
        <v>13</v>
      </c>
      <c r="L17">
        <f>(($L$8-L8)/$L$8)*100</f>
        <v>0</v>
      </c>
      <c r="M17">
        <f t="shared" ref="M17:N17" si="2">(($L$8-M8)/$L$8)*100</f>
        <v>0.44408558740411785</v>
      </c>
      <c r="N17">
        <f t="shared" si="2"/>
        <v>1.8570851836899476</v>
      </c>
    </row>
    <row r="18" spans="11:14" x14ac:dyDescent="0.3">
      <c r="K18" t="s">
        <v>7</v>
      </c>
      <c r="L18">
        <f>(($L$9-L9)/$L$9)*100</f>
        <v>0</v>
      </c>
      <c r="M18">
        <f t="shared" ref="M18:N18" si="3">(($L$9-M9)/$L$9)*100</f>
        <v>0.48622366288492713</v>
      </c>
      <c r="N18">
        <f t="shared" si="3"/>
        <v>6.8071312803889779</v>
      </c>
    </row>
    <row r="23" spans="11:14" x14ac:dyDescent="0.3">
      <c r="L23">
        <v>3</v>
      </c>
      <c r="M23">
        <v>6</v>
      </c>
      <c r="N23">
        <v>12</v>
      </c>
    </row>
    <row r="24" spans="11:14" x14ac:dyDescent="0.3">
      <c r="K24" t="s">
        <v>11</v>
      </c>
      <c r="L24">
        <v>0.23580000000000001</v>
      </c>
      <c r="M24">
        <v>0.36182722749886931</v>
      </c>
      <c r="N24">
        <v>1.8091361374943467</v>
      </c>
    </row>
    <row r="25" spans="11:14" x14ac:dyDescent="0.3">
      <c r="K25" t="s">
        <v>12</v>
      </c>
      <c r="L25">
        <v>0.21870000000000001</v>
      </c>
      <c r="M25">
        <v>0.41823504809703055</v>
      </c>
      <c r="N25">
        <v>1.5474696779590129</v>
      </c>
    </row>
    <row r="26" spans="11:14" x14ac:dyDescent="0.3">
      <c r="K26" t="s">
        <v>13</v>
      </c>
      <c r="L26">
        <v>0.20587</v>
      </c>
      <c r="M26">
        <v>0.44408558740411785</v>
      </c>
      <c r="N26">
        <v>1.8570851836899476</v>
      </c>
    </row>
    <row r="27" spans="11:14" x14ac:dyDescent="0.3">
      <c r="K27" t="s">
        <v>7</v>
      </c>
      <c r="L27">
        <v>0.26874999999999999</v>
      </c>
      <c r="M27">
        <v>0.48622366288492713</v>
      </c>
      <c r="N27">
        <v>6.8071312803889779</v>
      </c>
    </row>
  </sheetData>
  <mergeCells count="2">
    <mergeCell ref="F4:H4"/>
    <mergeCell ref="L4:N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X28"/>
  <sheetViews>
    <sheetView tabSelected="1" topLeftCell="B1" workbookViewId="0">
      <selection activeCell="H21" sqref="H21"/>
    </sheetView>
  </sheetViews>
  <sheetFormatPr defaultRowHeight="14.4" x14ac:dyDescent="0.3"/>
  <cols>
    <col min="19" max="19" width="18" bestFit="1" customWidth="1"/>
  </cols>
  <sheetData>
    <row r="4" spans="2:24" x14ac:dyDescent="0.3">
      <c r="D4" s="17" t="s">
        <v>17</v>
      </c>
      <c r="E4" s="17"/>
      <c r="F4" s="17"/>
      <c r="G4" s="17"/>
      <c r="H4" s="17"/>
      <c r="I4" s="17"/>
      <c r="J4" s="19"/>
      <c r="K4" s="17" t="s">
        <v>18</v>
      </c>
      <c r="L4" s="17"/>
      <c r="M4" s="17"/>
      <c r="N4" s="17"/>
      <c r="O4" s="17"/>
      <c r="P4" s="17"/>
    </row>
    <row r="5" spans="2:24" x14ac:dyDescent="0.3">
      <c r="D5" s="4"/>
      <c r="E5" s="17">
        <v>3</v>
      </c>
      <c r="F5" s="17"/>
      <c r="G5" s="17">
        <v>6</v>
      </c>
      <c r="H5" s="17"/>
      <c r="I5" s="17">
        <v>12</v>
      </c>
      <c r="J5" s="17"/>
      <c r="K5" s="17">
        <v>3</v>
      </c>
      <c r="L5" s="17"/>
      <c r="M5" s="17">
        <v>6</v>
      </c>
      <c r="N5" s="17"/>
      <c r="O5" s="17">
        <v>12</v>
      </c>
      <c r="P5" s="17"/>
    </row>
    <row r="6" spans="2:24" x14ac:dyDescent="0.3">
      <c r="E6" t="s">
        <v>14</v>
      </c>
      <c r="F6" t="s">
        <v>15</v>
      </c>
      <c r="G6" t="s">
        <v>14</v>
      </c>
      <c r="H6" t="s">
        <v>15</v>
      </c>
      <c r="I6" t="s">
        <v>16</v>
      </c>
      <c r="J6" t="s">
        <v>15</v>
      </c>
      <c r="K6" t="s">
        <v>14</v>
      </c>
      <c r="L6" t="s">
        <v>15</v>
      </c>
      <c r="M6" t="s">
        <v>14</v>
      </c>
      <c r="N6" t="s">
        <v>15</v>
      </c>
      <c r="O6" t="s">
        <v>16</v>
      </c>
      <c r="P6" t="s">
        <v>15</v>
      </c>
    </row>
    <row r="7" spans="2:24" x14ac:dyDescent="0.3">
      <c r="D7" t="s">
        <v>1</v>
      </c>
      <c r="E7">
        <v>7.36</v>
      </c>
      <c r="F7">
        <v>21.6</v>
      </c>
      <c r="G7">
        <v>3.4</v>
      </c>
      <c r="H7">
        <v>20.7</v>
      </c>
      <c r="I7">
        <v>3.4</v>
      </c>
      <c r="J7">
        <v>15.1</v>
      </c>
      <c r="K7">
        <v>0.01</v>
      </c>
      <c r="L7">
        <v>0.1</v>
      </c>
      <c r="M7">
        <v>0.01</v>
      </c>
      <c r="N7">
        <v>0.17</v>
      </c>
      <c r="O7">
        <v>0</v>
      </c>
      <c r="P7">
        <v>0.1</v>
      </c>
    </row>
    <row r="8" spans="2:24" x14ac:dyDescent="0.3">
      <c r="D8" t="s">
        <v>19</v>
      </c>
      <c r="E8">
        <v>6.2</v>
      </c>
      <c r="F8">
        <v>18.7</v>
      </c>
      <c r="G8">
        <v>3.8</v>
      </c>
      <c r="H8">
        <v>15</v>
      </c>
      <c r="I8">
        <v>2.7</v>
      </c>
      <c r="J8">
        <v>15.9</v>
      </c>
      <c r="K8">
        <v>0.01</v>
      </c>
      <c r="L8">
        <v>0.11</v>
      </c>
      <c r="M8">
        <v>0</v>
      </c>
      <c r="N8">
        <v>0.09</v>
      </c>
      <c r="O8">
        <v>0.01</v>
      </c>
      <c r="P8">
        <v>0.08</v>
      </c>
    </row>
    <row r="9" spans="2:24" x14ac:dyDescent="0.3">
      <c r="D9" t="s">
        <v>3</v>
      </c>
      <c r="E9">
        <v>2.8</v>
      </c>
      <c r="F9">
        <v>17.899999999999999</v>
      </c>
      <c r="G9">
        <v>5.6</v>
      </c>
      <c r="H9">
        <v>21.9</v>
      </c>
      <c r="I9">
        <v>3.7</v>
      </c>
      <c r="J9">
        <v>19.5</v>
      </c>
      <c r="K9">
        <v>0</v>
      </c>
      <c r="L9">
        <v>0.17</v>
      </c>
      <c r="M9">
        <v>0.01</v>
      </c>
      <c r="N9">
        <v>0.16</v>
      </c>
      <c r="O9">
        <v>0.01</v>
      </c>
      <c r="P9">
        <v>0.12</v>
      </c>
      <c r="R9" s="18" t="s">
        <v>26</v>
      </c>
      <c r="S9" s="18"/>
      <c r="T9" s="18"/>
      <c r="U9" s="18"/>
      <c r="V9" s="18"/>
      <c r="W9" s="18"/>
      <c r="X9" s="18"/>
    </row>
    <row r="10" spans="2:24" x14ac:dyDescent="0.3">
      <c r="D10" t="s">
        <v>4</v>
      </c>
      <c r="E10">
        <v>4.3</v>
      </c>
      <c r="F10">
        <v>19.5</v>
      </c>
      <c r="G10">
        <v>7.4</v>
      </c>
      <c r="H10">
        <v>28.1</v>
      </c>
      <c r="I10">
        <v>4.5999999999999996</v>
      </c>
      <c r="J10">
        <v>18.7</v>
      </c>
      <c r="K10">
        <v>0.01</v>
      </c>
      <c r="L10">
        <v>0.23</v>
      </c>
      <c r="M10">
        <v>0</v>
      </c>
      <c r="N10">
        <v>0.16</v>
      </c>
      <c r="O10">
        <v>0.01</v>
      </c>
      <c r="P10">
        <v>0.13</v>
      </c>
      <c r="R10" s="3"/>
      <c r="S10" s="17" t="s">
        <v>21</v>
      </c>
      <c r="T10" s="17"/>
      <c r="U10" s="17"/>
      <c r="V10" s="17" t="s">
        <v>22</v>
      </c>
      <c r="W10" s="17"/>
      <c r="X10" s="17"/>
    </row>
    <row r="11" spans="2:24" x14ac:dyDescent="0.3">
      <c r="D11" t="s">
        <v>5</v>
      </c>
      <c r="E11">
        <v>2.2999999999999998</v>
      </c>
      <c r="F11">
        <v>19.2</v>
      </c>
      <c r="G11">
        <v>7.1</v>
      </c>
      <c r="H11">
        <v>23</v>
      </c>
      <c r="I11">
        <v>3</v>
      </c>
      <c r="J11">
        <v>18.899999999999999</v>
      </c>
      <c r="K11">
        <v>0</v>
      </c>
      <c r="L11">
        <v>0.13</v>
      </c>
      <c r="M11">
        <v>0</v>
      </c>
      <c r="N11">
        <v>0.16</v>
      </c>
      <c r="O11">
        <v>0</v>
      </c>
      <c r="P11">
        <v>0.08</v>
      </c>
      <c r="R11" s="4"/>
      <c r="S11" s="4">
        <v>3</v>
      </c>
      <c r="T11" s="4">
        <v>6</v>
      </c>
      <c r="U11" s="4">
        <v>12</v>
      </c>
      <c r="V11" s="4">
        <v>3</v>
      </c>
      <c r="W11" s="4">
        <v>6</v>
      </c>
      <c r="X11" s="4">
        <v>12</v>
      </c>
    </row>
    <row r="12" spans="2:24" x14ac:dyDescent="0.3">
      <c r="D12" t="s">
        <v>6</v>
      </c>
      <c r="E12">
        <v>3</v>
      </c>
      <c r="F12">
        <v>21.2</v>
      </c>
      <c r="G12">
        <v>4.2</v>
      </c>
      <c r="H12">
        <v>16.2</v>
      </c>
      <c r="I12">
        <v>4.5</v>
      </c>
      <c r="J12">
        <v>19.600000000000001</v>
      </c>
      <c r="K12">
        <v>0</v>
      </c>
      <c r="L12">
        <v>0.1</v>
      </c>
      <c r="M12">
        <v>0.01</v>
      </c>
      <c r="N12">
        <v>0.11</v>
      </c>
      <c r="O12">
        <v>0.01</v>
      </c>
      <c r="P12">
        <v>0.12</v>
      </c>
      <c r="R12" t="s">
        <v>11</v>
      </c>
      <c r="T12">
        <f>STDEV(H20:H21)</f>
        <v>4.1223467892535579</v>
      </c>
      <c r="U12">
        <f>STDEV(I20:I21)</f>
        <v>9.7784086600640503</v>
      </c>
      <c r="W12">
        <f>STDEV(K20:K21)</f>
        <v>0.23481308101230763</v>
      </c>
      <c r="X12">
        <f>STDEV(L20:L21)</f>
        <v>9.0773233744121842E-2</v>
      </c>
    </row>
    <row r="13" spans="2:24" x14ac:dyDescent="0.3">
      <c r="D13" t="s">
        <v>7</v>
      </c>
      <c r="E13">
        <v>10.199999999999999</v>
      </c>
      <c r="F13">
        <v>28.1</v>
      </c>
      <c r="G13">
        <v>5</v>
      </c>
      <c r="H13">
        <v>19.100000000000001</v>
      </c>
      <c r="I13">
        <v>6.2</v>
      </c>
      <c r="J13">
        <v>25.5</v>
      </c>
      <c r="K13">
        <v>0</v>
      </c>
      <c r="L13">
        <v>0.13</v>
      </c>
      <c r="M13">
        <v>0.01</v>
      </c>
      <c r="N13">
        <v>0.1</v>
      </c>
      <c r="O13">
        <v>0.02</v>
      </c>
      <c r="P13">
        <v>0.18</v>
      </c>
      <c r="R13" t="s">
        <v>12</v>
      </c>
      <c r="T13">
        <f>STDEV(H22:H23)</f>
        <v>12.641358095269437</v>
      </c>
      <c r="U13">
        <f>STDEV(I22:I23)</f>
        <v>8.4209142636105927</v>
      </c>
      <c r="W13">
        <f>STDEV(K22:K23)</f>
        <v>1.2317011839512056E-2</v>
      </c>
      <c r="X13">
        <f>STDEV(L22:L23)</f>
        <v>1.8444878426333827E-2</v>
      </c>
    </row>
    <row r="14" spans="2:24" x14ac:dyDescent="0.3">
      <c r="R14" t="s">
        <v>13</v>
      </c>
      <c r="T14">
        <f>STDEV(H24:H25)</f>
        <v>12.486407658547718</v>
      </c>
      <c r="U14">
        <f>STDEV(I24:I25)</f>
        <v>1.5017815880361494</v>
      </c>
      <c r="W14">
        <f>STDEV(K24:K25)</f>
        <v>0.19862921137613615</v>
      </c>
      <c r="X14">
        <f>STDEV(L24:L25)</f>
        <v>0.11264079916385319</v>
      </c>
    </row>
    <row r="15" spans="2:24" x14ac:dyDescent="0.3">
      <c r="R15" t="s">
        <v>7</v>
      </c>
      <c r="U15">
        <v>100.52083333333333</v>
      </c>
      <c r="W15">
        <v>0.46875000000000006</v>
      </c>
      <c r="X15">
        <v>0.83333333333333326</v>
      </c>
    </row>
    <row r="16" spans="2:24" x14ac:dyDescent="0.3">
      <c r="B16" t="s">
        <v>23</v>
      </c>
      <c r="C16">
        <v>3000</v>
      </c>
    </row>
    <row r="17" spans="1:22" x14ac:dyDescent="0.3">
      <c r="B17" t="s">
        <v>20</v>
      </c>
      <c r="C17">
        <v>1</v>
      </c>
      <c r="F17" s="2"/>
      <c r="G17" s="10" t="s">
        <v>21</v>
      </c>
      <c r="H17" s="10"/>
      <c r="I17" s="10"/>
      <c r="J17" s="10" t="s">
        <v>22</v>
      </c>
      <c r="K17" s="10"/>
      <c r="L17" s="10"/>
      <c r="P17" s="3"/>
      <c r="Q17" s="17" t="s">
        <v>21</v>
      </c>
      <c r="R17" s="17"/>
      <c r="S17" s="17"/>
      <c r="T17" s="17" t="s">
        <v>22</v>
      </c>
      <c r="U17" s="17"/>
      <c r="V17" s="17"/>
    </row>
    <row r="18" spans="1:22" x14ac:dyDescent="0.3">
      <c r="C18" s="16" t="s">
        <v>0</v>
      </c>
      <c r="D18" s="16"/>
      <c r="E18" s="16"/>
      <c r="G18">
        <v>3</v>
      </c>
      <c r="H18">
        <v>6</v>
      </c>
      <c r="I18">
        <v>12</v>
      </c>
      <c r="J18">
        <v>3</v>
      </c>
      <c r="K18">
        <v>6</v>
      </c>
      <c r="L18">
        <v>12</v>
      </c>
      <c r="P18" s="4"/>
      <c r="Q18" s="4">
        <v>3</v>
      </c>
      <c r="R18" s="4">
        <v>6</v>
      </c>
      <c r="S18" s="4">
        <v>12</v>
      </c>
      <c r="T18" s="4">
        <v>3</v>
      </c>
      <c r="U18" s="4">
        <v>6</v>
      </c>
      <c r="V18" s="4">
        <v>12</v>
      </c>
    </row>
    <row r="19" spans="1:22" x14ac:dyDescent="0.3">
      <c r="C19">
        <v>3</v>
      </c>
      <c r="D19">
        <v>6</v>
      </c>
      <c r="E19">
        <v>12</v>
      </c>
      <c r="P19" t="s">
        <v>11</v>
      </c>
      <c r="Q19">
        <f>AVERAGE(G20:G21)</f>
        <v>72.488280065870867</v>
      </c>
      <c r="R19">
        <f t="shared" ref="R19:V19" si="0">AVERAGE(H20:H21)</f>
        <v>87.978230508324273</v>
      </c>
      <c r="S19">
        <f t="shared" si="0"/>
        <v>69.093298470441624</v>
      </c>
      <c r="T19">
        <f t="shared" si="0"/>
        <v>0.51723375144399752</v>
      </c>
      <c r="U19">
        <f t="shared" si="0"/>
        <v>0.68427208696228714</v>
      </c>
      <c r="V19">
        <f t="shared" si="0"/>
        <v>0.46725738640517234</v>
      </c>
    </row>
    <row r="20" spans="1:22" x14ac:dyDescent="0.3">
      <c r="B20" t="s">
        <v>1</v>
      </c>
      <c r="C20">
        <f>134+130.5+148+160</f>
        <v>572.5</v>
      </c>
      <c r="D20">
        <f>147.5+133.5+160+130</f>
        <v>571</v>
      </c>
      <c r="E20">
        <f>146+128.5+158+132</f>
        <v>564.5</v>
      </c>
      <c r="F20" t="s">
        <v>1</v>
      </c>
      <c r="G20">
        <f>((F7-E7)/$C$17)*($C$16/C20)</f>
        <v>74.620087336244552</v>
      </c>
      <c r="H20">
        <f>((H7-G7)/$C$17)*($C$16/D20)</f>
        <v>90.893169877408056</v>
      </c>
      <c r="I20">
        <f>((J7-I7)/$C$17)*($C$16/E20)</f>
        <v>62.178919397697072</v>
      </c>
      <c r="J20">
        <f>((L7-K7)/$C$17)*($C$16/C20)</f>
        <v>0.47161572052401751</v>
      </c>
      <c r="K20">
        <f>(((N7-M7)/$C$17)*($C$16/E20))</f>
        <v>0.85031000885739594</v>
      </c>
      <c r="L20">
        <f>((P7-O7)/$C$17)*($C$16/E20)</f>
        <v>0.53144375553587242</v>
      </c>
      <c r="P20" t="s">
        <v>12</v>
      </c>
      <c r="Q20">
        <f t="shared" ref="Q20:V20" si="1">AVERAGE(G22:G23)</f>
        <v>76.072382680578656</v>
      </c>
      <c r="R20">
        <f t="shared" si="1"/>
        <v>93.031653317181224</v>
      </c>
      <c r="S20">
        <f t="shared" si="1"/>
        <v>76.337181087077099</v>
      </c>
      <c r="T20">
        <f t="shared" si="1"/>
        <v>0.97623368113312181</v>
      </c>
      <c r="U20">
        <f t="shared" si="1"/>
        <v>0.78995944259567386</v>
      </c>
      <c r="V20">
        <f t="shared" si="1"/>
        <v>0.58595916528008873</v>
      </c>
    </row>
    <row r="21" spans="1:22" x14ac:dyDescent="0.3">
      <c r="A21">
        <v>135.5</v>
      </c>
      <c r="B21" t="s">
        <v>2</v>
      </c>
      <c r="C21">
        <f>136+132.5+133+131.5</f>
        <v>533</v>
      </c>
      <c r="D21">
        <f>132+131.5+131.5</f>
        <v>395</v>
      </c>
      <c r="E21">
        <f>129.5+132.5+128.5+130.5</f>
        <v>521</v>
      </c>
      <c r="F21" t="s">
        <v>2</v>
      </c>
      <c r="G21">
        <f t="shared" ref="G21:G26" si="2">((F8-E8)/$C$17)*($C$16/C21)</f>
        <v>70.356472795497183</v>
      </c>
      <c r="H21">
        <f>((H8-G8)/$C$17)*($C$16/D21)</f>
        <v>85.063291139240491</v>
      </c>
      <c r="I21">
        <f t="shared" ref="I21:I25" si="3">((J8-I8)/$C$17)*($C$16/E21)</f>
        <v>76.007677543186176</v>
      </c>
      <c r="J21">
        <f t="shared" ref="J21:J26" si="4">((L8-K8)/$C$17)*($C$16/C21)</f>
        <v>0.56285178236397748</v>
      </c>
      <c r="K21">
        <f t="shared" ref="K21:K26" si="5">(((N8-M8)/$C$17)*($C$16/E21))</f>
        <v>0.51823416506717845</v>
      </c>
      <c r="L21">
        <f t="shared" ref="L21:L25" si="6">((P8-O8)/$C$17)*($C$16/E21)</f>
        <v>0.4030710172744722</v>
      </c>
      <c r="P21" t="s">
        <v>13</v>
      </c>
      <c r="Q21">
        <f>AVERAGE(G24:G25)</f>
        <v>85.058777506112463</v>
      </c>
      <c r="R21">
        <f>AVERAGEA(H24:H25)</f>
        <v>67.797282496077685</v>
      </c>
      <c r="S21">
        <f>AVERAGE(I24:I25)</f>
        <v>76.499055664994614</v>
      </c>
      <c r="T21">
        <f>AVERAGE(J24:J25)</f>
        <v>0.55649877750611254</v>
      </c>
      <c r="U21">
        <f>AVERAGE(K24:K25)</f>
        <v>0.64003574257224671</v>
      </c>
      <c r="V21">
        <f>AVERAGE(L24:L25)</f>
        <v>0.46989297536605679</v>
      </c>
    </row>
    <row r="22" spans="1:22" x14ac:dyDescent="0.3">
      <c r="B22" t="s">
        <v>3</v>
      </c>
      <c r="C22">
        <f>151.5+122.5+169+140.5</f>
        <v>583.5</v>
      </c>
      <c r="D22">
        <f>168.5+140+151+122</f>
        <v>581.5</v>
      </c>
      <c r="E22">
        <f>149.5+139+120.5+167</f>
        <v>576</v>
      </c>
      <c r="F22" t="s">
        <v>3</v>
      </c>
      <c r="G22">
        <f t="shared" si="2"/>
        <v>77.634961439588679</v>
      </c>
      <c r="H22">
        <f t="shared" ref="H22:H26" si="7">((H9-G9)/$C$17)*($C$16/D22)</f>
        <v>84.092863284608754</v>
      </c>
      <c r="I22">
        <f t="shared" si="3"/>
        <v>82.291666666666671</v>
      </c>
      <c r="J22">
        <f t="shared" si="4"/>
        <v>0.87403598971722374</v>
      </c>
      <c r="K22">
        <f t="shared" si="5"/>
        <v>0.78124999999999989</v>
      </c>
      <c r="L22">
        <f t="shared" si="6"/>
        <v>0.57291666666666663</v>
      </c>
      <c r="P22" t="s">
        <v>7</v>
      </c>
      <c r="Q22">
        <f t="shared" ref="Q22:V22" si="8">AVERAGE(G26)</f>
        <v>87.034035656401954</v>
      </c>
      <c r="R22">
        <f t="shared" si="8"/>
        <v>68.892508143322488</v>
      </c>
      <c r="S22">
        <f t="shared" si="8"/>
        <v>100.52083333333333</v>
      </c>
      <c r="T22">
        <f t="shared" si="8"/>
        <v>0.63209076175040524</v>
      </c>
      <c r="U22">
        <f t="shared" si="8"/>
        <v>0.46875000000000006</v>
      </c>
      <c r="V22">
        <f t="shared" si="8"/>
        <v>0.83333333333333326</v>
      </c>
    </row>
    <row r="23" spans="1:22" x14ac:dyDescent="0.3">
      <c r="B23" t="s">
        <v>4</v>
      </c>
      <c r="C23">
        <f>140+141+136.5+194.5</f>
        <v>612</v>
      </c>
      <c r="D23">
        <f>140.5+139.5+193.5+135.5</f>
        <v>609</v>
      </c>
      <c r="E23">
        <f>191+138.5+134+137.5</f>
        <v>601</v>
      </c>
      <c r="F23" t="s">
        <v>4</v>
      </c>
      <c r="G23">
        <f t="shared" si="2"/>
        <v>74.509803921568633</v>
      </c>
      <c r="H23">
        <f>((H10-G10)/$C$17)*($C$16/D23)</f>
        <v>101.97044334975371</v>
      </c>
      <c r="I23">
        <f t="shared" si="3"/>
        <v>70.382695507487526</v>
      </c>
      <c r="J23">
        <f>((L10-K10)/$C$17)*($C$16/C23)</f>
        <v>1.0784313725490198</v>
      </c>
      <c r="K23">
        <f t="shared" si="5"/>
        <v>0.79866888519134782</v>
      </c>
      <c r="L23">
        <f t="shared" si="6"/>
        <v>0.59900166389351084</v>
      </c>
    </row>
    <row r="24" spans="1:22" x14ac:dyDescent="0.3">
      <c r="B24" t="s">
        <v>5</v>
      </c>
      <c r="C24">
        <f>131.5+146.5+172+175</f>
        <v>625</v>
      </c>
      <c r="D24">
        <f>171+131+146+174.5</f>
        <v>622.5</v>
      </c>
      <c r="E24">
        <f>129.5+169+144.5+172</f>
        <v>615</v>
      </c>
      <c r="F24" t="s">
        <v>5</v>
      </c>
      <c r="G24">
        <f t="shared" si="2"/>
        <v>81.11999999999999</v>
      </c>
      <c r="H24">
        <f t="shared" si="7"/>
        <v>76.6265060240964</v>
      </c>
      <c r="I24">
        <f t="shared" si="3"/>
        <v>77.560975609756085</v>
      </c>
      <c r="J24">
        <f t="shared" si="4"/>
        <v>0.624</v>
      </c>
      <c r="K24">
        <f t="shared" si="5"/>
        <v>0.78048780487804881</v>
      </c>
      <c r="L24">
        <f t="shared" si="6"/>
        <v>0.3902439024390244</v>
      </c>
    </row>
    <row r="25" spans="1:22" x14ac:dyDescent="0.3">
      <c r="B25" t="s">
        <v>6</v>
      </c>
      <c r="C25">
        <f>191.5+125.5+149+147.5</f>
        <v>613.5</v>
      </c>
      <c r="D25">
        <f>190.5+148.5+146.5+125</f>
        <v>610.5</v>
      </c>
      <c r="E25">
        <f>146+122.5+188+144</f>
        <v>600.5</v>
      </c>
      <c r="F25" t="s">
        <v>6</v>
      </c>
      <c r="G25">
        <f t="shared" si="2"/>
        <v>88.997555012224936</v>
      </c>
      <c r="H25">
        <f t="shared" si="7"/>
        <v>58.968058968058969</v>
      </c>
      <c r="I25">
        <f t="shared" si="3"/>
        <v>75.437135720233158</v>
      </c>
      <c r="J25">
        <f t="shared" si="4"/>
        <v>0.48899755501222497</v>
      </c>
      <c r="K25">
        <f t="shared" si="5"/>
        <v>0.49958368026644467</v>
      </c>
      <c r="L25">
        <f t="shared" si="6"/>
        <v>0.54954204829308917</v>
      </c>
      <c r="Q25" t="s">
        <v>11</v>
      </c>
      <c r="R25" t="s">
        <v>12</v>
      </c>
      <c r="S25" t="s">
        <v>13</v>
      </c>
      <c r="T25" t="s">
        <v>7</v>
      </c>
    </row>
    <row r="26" spans="1:22" x14ac:dyDescent="0.3">
      <c r="B26" t="s">
        <v>7</v>
      </c>
      <c r="C26">
        <f>180.5+126+168+142.5</f>
        <v>617</v>
      </c>
      <c r="D26">
        <f>141.5+179.5+167.5+125.5</f>
        <v>614</v>
      </c>
      <c r="E26">
        <f>149.5+139+120.5+167</f>
        <v>576</v>
      </c>
      <c r="F26" t="s">
        <v>7</v>
      </c>
      <c r="G26">
        <f t="shared" si="2"/>
        <v>87.034035656401954</v>
      </c>
      <c r="H26">
        <f t="shared" si="7"/>
        <v>68.892508143322488</v>
      </c>
      <c r="I26">
        <f>((J13-I13)/$C$17)*($C$16/E26)</f>
        <v>100.52083333333333</v>
      </c>
      <c r="J26">
        <f t="shared" si="4"/>
        <v>0.63209076175040524</v>
      </c>
      <c r="K26">
        <f t="shared" si="5"/>
        <v>0.46875000000000006</v>
      </c>
      <c r="L26">
        <f>((P13-O13)/$C$17)*($C$16/E26)</f>
        <v>0.83333333333333326</v>
      </c>
      <c r="P26">
        <v>3</v>
      </c>
      <c r="Q26">
        <v>0.51700000000000002</v>
      </c>
      <c r="R26">
        <v>0.97599999999999998</v>
      </c>
      <c r="S26">
        <v>0.55700000000000005</v>
      </c>
      <c r="T26">
        <v>0.63200000000000001</v>
      </c>
    </row>
    <row r="27" spans="1:22" x14ac:dyDescent="0.3">
      <c r="P27">
        <v>6</v>
      </c>
      <c r="Q27">
        <v>0.68400000000000005</v>
      </c>
      <c r="R27">
        <v>0.78800000000000003</v>
      </c>
      <c r="S27">
        <v>0.64</v>
      </c>
      <c r="T27">
        <v>0.46899999999999997</v>
      </c>
    </row>
    <row r="28" spans="1:22" x14ac:dyDescent="0.3">
      <c r="P28">
        <v>12</v>
      </c>
      <c r="Q28">
        <v>0.46700000000000003</v>
      </c>
      <c r="R28">
        <v>0.58599999999999997</v>
      </c>
      <c r="S28">
        <v>0.47</v>
      </c>
      <c r="T28">
        <v>0.83299999999999996</v>
      </c>
    </row>
  </sheetData>
  <mergeCells count="16">
    <mergeCell ref="S10:U10"/>
    <mergeCell ref="V10:X10"/>
    <mergeCell ref="R9:X9"/>
    <mergeCell ref="K4:P4"/>
    <mergeCell ref="D4:J4"/>
    <mergeCell ref="E5:F5"/>
    <mergeCell ref="G5:H5"/>
    <mergeCell ref="I5:J5"/>
    <mergeCell ref="K5:L5"/>
    <mergeCell ref="M5:N5"/>
    <mergeCell ref="O5:P5"/>
    <mergeCell ref="C18:E18"/>
    <mergeCell ref="G17:I17"/>
    <mergeCell ref="J17:L17"/>
    <mergeCell ref="Q17:S17"/>
    <mergeCell ref="T17:V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quality parameters</vt:lpstr>
      <vt:lpstr>weights of fruits</vt:lpstr>
      <vt:lpstr>Ethylene and respiration</vt:lpstr>
    </vt:vector>
  </TitlesOfParts>
  <Company>Deftones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BONGOLWETHU</dc:creator>
  <cp:lastModifiedBy>Bongolwethu Mabusela</cp:lastModifiedBy>
  <dcterms:created xsi:type="dcterms:W3CDTF">2021-09-14T08:00:52Z</dcterms:created>
  <dcterms:modified xsi:type="dcterms:W3CDTF">2025-03-31T15:06:16Z</dcterms:modified>
</cp:coreProperties>
</file>