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.xml" ContentType="application/vnd.openxmlformats-officedocument.drawing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pworld-my.sharepoint.com/personal/pitso_taele_dpwssa_com/Documents/Documents/Masters Journals/Test Results/New folder/"/>
    </mc:Choice>
  </mc:AlternateContent>
  <xr:revisionPtr revIDLastSave="738" documentId="13_ncr:1_{B78BFE3E-9F50-4F56-AD1F-F5AAD43006DC}" xr6:coauthVersionLast="47" xr6:coauthVersionMax="47" xr10:uidLastSave="{00F34F6E-3061-489D-9B30-63054D7CB1CE}"/>
  <bookViews>
    <workbookView xWindow="-110" yWindow="-110" windowWidth="19420" windowHeight="11500" activeTab="1" xr2:uid="{E6E32A17-1DE5-464A-A503-0C84B26945E5}"/>
  </bookViews>
  <sheets>
    <sheet name="Tensile" sheetId="1" r:id="rId1"/>
    <sheet name="Flexural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29" i="1" l="1"/>
  <c r="AA29" i="1"/>
  <c r="Y29" i="1"/>
  <c r="W29" i="1"/>
  <c r="U29" i="1"/>
  <c r="AC28" i="1"/>
  <c r="AA28" i="1"/>
  <c r="Y28" i="1"/>
  <c r="W28" i="1"/>
  <c r="U28" i="1"/>
  <c r="Y20" i="1"/>
  <c r="AA20" i="1"/>
  <c r="AC20" i="1"/>
  <c r="AC19" i="1"/>
  <c r="AA19" i="1"/>
  <c r="Y19" i="1"/>
  <c r="W20" i="1"/>
  <c r="W19" i="1"/>
  <c r="U20" i="1"/>
  <c r="U19" i="1"/>
  <c r="AC11" i="1"/>
  <c r="AA11" i="1"/>
  <c r="Y11" i="1"/>
  <c r="W11" i="1"/>
  <c r="U11" i="1"/>
  <c r="AC10" i="1"/>
  <c r="AA10" i="1"/>
  <c r="Y10" i="1"/>
  <c r="W10" i="1"/>
  <c r="U10" i="1"/>
  <c r="V29" i="1"/>
  <c r="X29" i="1"/>
  <c r="Z29" i="1"/>
  <c r="AB29" i="1"/>
  <c r="AD29" i="1"/>
  <c r="V20" i="1"/>
  <c r="X20" i="1"/>
  <c r="Z20" i="1"/>
  <c r="AB20" i="1"/>
  <c r="AD20" i="1"/>
  <c r="V11" i="1"/>
  <c r="X11" i="1"/>
  <c r="Z11" i="1"/>
  <c r="AB11" i="1"/>
  <c r="AD11" i="1"/>
  <c r="V28" i="1"/>
  <c r="X28" i="1"/>
  <c r="Z28" i="1"/>
  <c r="AB28" i="1"/>
  <c r="AD28" i="1"/>
  <c r="V19" i="1"/>
  <c r="X19" i="1"/>
  <c r="Z19" i="1"/>
  <c r="AB19" i="1"/>
  <c r="AD19" i="1"/>
  <c r="V10" i="1"/>
  <c r="X10" i="1"/>
  <c r="Z10" i="1"/>
  <c r="AB10" i="1"/>
  <c r="AD10" i="1"/>
  <c r="AD26" i="1"/>
  <c r="AD27" i="1"/>
  <c r="AD25" i="1"/>
  <c r="AB26" i="1"/>
  <c r="AB27" i="1"/>
  <c r="AB25" i="1"/>
  <c r="Z26" i="1"/>
  <c r="Z27" i="1"/>
  <c r="Z25" i="1"/>
  <c r="X26" i="1"/>
  <c r="X27" i="1"/>
  <c r="X25" i="1"/>
  <c r="V26" i="1"/>
  <c r="V27" i="1"/>
  <c r="V25" i="1"/>
  <c r="AD17" i="1"/>
  <c r="AD18" i="1"/>
  <c r="AD16" i="1"/>
  <c r="AB17" i="1"/>
  <c r="AB18" i="1"/>
  <c r="AB16" i="1"/>
  <c r="Z17" i="1"/>
  <c r="Z18" i="1"/>
  <c r="Z16" i="1"/>
  <c r="X17" i="1"/>
  <c r="X18" i="1"/>
  <c r="X16" i="1"/>
  <c r="V17" i="1"/>
  <c r="V18" i="1"/>
  <c r="V16" i="1"/>
  <c r="AB9" i="1"/>
  <c r="AD8" i="1"/>
  <c r="AD9" i="1"/>
  <c r="AD7" i="1"/>
  <c r="AB8" i="1"/>
  <c r="AB7" i="1"/>
  <c r="Z8" i="1"/>
  <c r="Z9" i="1"/>
  <c r="Z7" i="1"/>
  <c r="X8" i="1"/>
  <c r="X9" i="1"/>
  <c r="X7" i="1"/>
  <c r="V8" i="1"/>
  <c r="V9" i="1"/>
  <c r="V7" i="1"/>
  <c r="AI25" i="2"/>
  <c r="AI26" i="2"/>
  <c r="AI24" i="2"/>
  <c r="AG25" i="2"/>
  <c r="AG26" i="2"/>
  <c r="AG24" i="2"/>
  <c r="AE25" i="2"/>
  <c r="AE26" i="2"/>
  <c r="AE24" i="2"/>
  <c r="AC25" i="2"/>
  <c r="AC26" i="2"/>
  <c r="AC24" i="2"/>
  <c r="AI17" i="2"/>
  <c r="AI16" i="2"/>
  <c r="AI15" i="2"/>
  <c r="AG16" i="2"/>
  <c r="AG17" i="2"/>
  <c r="AG15" i="2"/>
  <c r="AE15" i="2"/>
  <c r="AE16" i="2"/>
  <c r="AE17" i="2"/>
  <c r="AC16" i="2"/>
  <c r="AC17" i="2"/>
  <c r="AC15" i="2"/>
  <c r="AI7" i="2"/>
  <c r="AI8" i="2"/>
  <c r="AI6" i="2"/>
  <c r="AG7" i="2"/>
  <c r="AG8" i="2"/>
  <c r="AG6" i="2"/>
  <c r="AC6" i="2"/>
  <c r="AE7" i="2"/>
  <c r="AE8" i="2"/>
  <c r="AE6" i="2"/>
  <c r="AC8" i="2"/>
  <c r="AC7" i="2"/>
</calcChain>
</file>

<file path=xl/sharedStrings.xml><?xml version="1.0" encoding="utf-8"?>
<sst xmlns="http://schemas.openxmlformats.org/spreadsheetml/2006/main" count="223" uniqueCount="32">
  <si>
    <t>Element Size</t>
  </si>
  <si>
    <t>Nodes</t>
  </si>
  <si>
    <t>Corner Nodes</t>
  </si>
  <si>
    <t>Normal Stress</t>
  </si>
  <si>
    <t>Equivalent Vons Mises</t>
  </si>
  <si>
    <t>Normal Elastic Strain</t>
  </si>
  <si>
    <t>Equilavent Elastic Strain</t>
  </si>
  <si>
    <t>Lateral Deformation</t>
  </si>
  <si>
    <t>4 Layer Plies</t>
  </si>
  <si>
    <t>Elements</t>
  </si>
  <si>
    <t>8 Layer Plies</t>
  </si>
  <si>
    <t>6 Layer Plies</t>
  </si>
  <si>
    <t>Maximum Shear</t>
  </si>
  <si>
    <t>Equivalent Strain</t>
  </si>
  <si>
    <t>1mm</t>
  </si>
  <si>
    <t>2mm</t>
  </si>
  <si>
    <t>3mm</t>
  </si>
  <si>
    <t>4mm</t>
  </si>
  <si>
    <t>X</t>
  </si>
  <si>
    <t>Lateral Deformation (mm)</t>
  </si>
  <si>
    <t>x</t>
  </si>
  <si>
    <t>Normal %</t>
  </si>
  <si>
    <t>Equivalent Strain %</t>
  </si>
  <si>
    <t>Equivalent Von %</t>
  </si>
  <si>
    <t>Shear %</t>
  </si>
  <si>
    <t>Stress %</t>
  </si>
  <si>
    <t>Von %</t>
  </si>
  <si>
    <t>Von Strain %</t>
  </si>
  <si>
    <t>Lateral Deformation %</t>
  </si>
  <si>
    <t>Elastic Strain %</t>
  </si>
  <si>
    <t>0.5mm</t>
  </si>
  <si>
    <t>0.25mm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</si>
</sst>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4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/>
        <bgColor indexed="64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horizontal="center"/>
    </xf>
    <xf numFmtId="0" fontId="0" fillId="0" borderId="0" xfId="0" quotePrefix="1" applyAlignment="1">
      <alignment horizontal="center"/>
    </xf>
    <xf numFmtId="164" fontId="0" fillId="0" borderId="0" xfId="1" applyNumberFormat="1" applyFont="1"/>
    <xf numFmtId="164" fontId="3" fillId="4" borderId="0" xfId="1" applyNumberFormat="1" applyFont="1" applyFill="1" applyAlignment="1">
      <alignment horizontal="center"/>
    </xf>
    <xf numFmtId="164" fontId="0" fillId="0" borderId="0" xfId="1" applyNumberFormat="1" applyFont="1" applyAlignment="1">
      <alignment horizontal="center"/>
    </xf>
    <xf numFmtId="164" fontId="3" fillId="5" borderId="0" xfId="1" applyNumberFormat="1" applyFont="1" applyFill="1" applyAlignment="1">
      <alignment horizontal="center"/>
    </xf>
    <xf numFmtId="164" fontId="3" fillId="6" borderId="0" xfId="1" applyNumberFormat="1" applyFont="1" applyFill="1" applyAlignment="1">
      <alignment horizontal="center"/>
    </xf>
    <xf numFmtId="164" fontId="3" fillId="7" borderId="0" xfId="1" applyNumberFormat="1" applyFont="1" applyFill="1" applyAlignment="1">
      <alignment horizontal="center"/>
    </xf>
    <xf numFmtId="164" fontId="0" fillId="9" borderId="0" xfId="1" applyNumberFormat="1" applyFont="1" applyFill="1"/>
    <xf numFmtId="164" fontId="3" fillId="6" borderId="0" xfId="1" applyNumberFormat="1" applyFont="1" applyFill="1"/>
    <xf numFmtId="164" fontId="3" fillId="7" borderId="0" xfId="1" applyNumberFormat="1" applyFont="1" applyFill="1"/>
    <xf numFmtId="164" fontId="3" fillId="8" borderId="0" xfId="1" applyNumberFormat="1" applyFont="1" applyFill="1"/>
    <xf numFmtId="164" fontId="3" fillId="4" borderId="0" xfId="1" applyNumberFormat="1" applyFont="1" applyFill="1"/>
    <xf numFmtId="0" fontId="2" fillId="3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1" xfId="0" quotePrefix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/>
    </xf>
  </cellXfs>
  <cellStyles count="2">
    <cellStyle name="Normal" xfId="0" builtinId="0"/>
    <cellStyle name="Percent" xfId="1" builtinId="5"/>
  </cellStyles>
  <dxfs count="117">
    <dxf>
      <numFmt numFmtId="164" formatCode="0.0%"/>
    </dxf>
    <dxf>
      <alignment horizontal="center" vertical="bottom" textRotation="0" wrapText="0" indent="0" justifyLastLine="0" shrinkToFit="0" readingOrder="0"/>
    </dxf>
    <dxf>
      <numFmt numFmtId="164" formatCode="0.0%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%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%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%"/>
    </dxf>
    <dxf>
      <alignment horizontal="center" vertical="bottom" textRotation="0" wrapText="0" indent="0" justifyLastLine="0" shrinkToFit="0" readingOrder="0"/>
    </dxf>
    <dxf>
      <numFmt numFmtId="164" formatCode="0.0%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%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%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%"/>
    </dxf>
    <dxf>
      <alignment horizontal="center" vertical="bottom" textRotation="0" wrapText="0" indent="0" justifyLastLine="0" shrinkToFit="0" readingOrder="0"/>
    </dxf>
    <dxf>
      <numFmt numFmtId="164" formatCode="0.0%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%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%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64" formatCode="0.0%"/>
    </dxf>
    <dxf>
      <numFmt numFmtId="164" formatCode="0.0%"/>
    </dxf>
    <dxf>
      <numFmt numFmtId="164" formatCode="0.0%"/>
    </dxf>
    <dxf>
      <numFmt numFmtId="164" formatCode="0.0%"/>
    </dxf>
    <dxf>
      <numFmt numFmtId="164" formatCode="0.0%"/>
    </dxf>
    <dxf>
      <numFmt numFmtId="164" formatCode="0.0%"/>
    </dxf>
    <dxf>
      <numFmt numFmtId="164" formatCode="0.0%"/>
    </dxf>
    <dxf>
      <numFmt numFmtId="164" formatCode="0.0%"/>
    </dxf>
    <dxf>
      <numFmt numFmtId="164" formatCode="0.0%"/>
    </dxf>
    <dxf>
      <numFmt numFmtId="164" formatCode="0.0%"/>
    </dxf>
    <dxf>
      <numFmt numFmtId="164" formatCode="0.0%"/>
    </dxf>
    <dxf>
      <numFmt numFmtId="164" formatCode="0.0%"/>
    </dxf>
    <dxf>
      <numFmt numFmtId="164" formatCode="0.0%"/>
    </dxf>
    <dxf>
      <numFmt numFmtId="164" formatCode="0.0%"/>
    </dxf>
    <dxf>
      <numFmt numFmtId="164" formatCode="0.0%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Normal Stress (6</a:t>
            </a:r>
            <a:r>
              <a:rPr lang="en-US" baseline="0"/>
              <a:t> Layer Plies)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Tensile!$E$13</c:f>
              <c:strCache>
                <c:ptCount val="1"/>
                <c:pt idx="0">
                  <c:v>Normal Stress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13DFE71-ACC3-49FE-9516-D2E19A46C9A6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666D-4BF2-A7C1-9907194C1D5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7E52C7C-820F-4E23-AD54-1FEF02DB3791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666D-4BF2-A7C1-9907194C1D5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4495D51-1414-45D0-B8A5-2B3E19E6B54C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666D-4BF2-A7C1-9907194C1D5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9BC013A4-4FED-432C-A320-6261C18AEEC3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666D-4BF2-A7C1-9907194C1D5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01152F5-6DC2-4A63-8FE9-25552CDE3864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666D-4BF2-A7C1-9907194C1D5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D4F4CAFE-5121-4F31-8FAD-CE60D47B5442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666D-4BF2-A7C1-9907194C1D5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BA3B1DC-EC08-43F1-BC9B-0882076E44E5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666D-4BF2-A7C1-9907194C1D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Tensile!$A$14:$A$20</c:f>
              <c:strCache>
                <c:ptCount val="7"/>
                <c:pt idx="0">
                  <c:v>X</c:v>
                </c:pt>
                <c:pt idx="1">
                  <c:v>4mm</c:v>
                </c:pt>
                <c:pt idx="2">
                  <c:v>3mm</c:v>
                </c:pt>
                <c:pt idx="3">
                  <c:v>2mm</c:v>
                </c:pt>
                <c:pt idx="4">
                  <c:v>1mm</c:v>
                </c:pt>
                <c:pt idx="5">
                  <c:v>0.5mm</c:v>
                </c:pt>
                <c:pt idx="6">
                  <c:v>0.25mm</c:v>
                </c:pt>
              </c:strCache>
            </c:strRef>
          </c:cat>
          <c:val>
            <c:numRef>
              <c:f>Tensile!$E$14:$E$20</c:f>
              <c:numCache>
                <c:formatCode>General</c:formatCode>
                <c:ptCount val="7"/>
                <c:pt idx="0">
                  <c:v>10</c:v>
                </c:pt>
                <c:pt idx="1">
                  <c:v>1325.7</c:v>
                </c:pt>
                <c:pt idx="2">
                  <c:v>1643.6</c:v>
                </c:pt>
                <c:pt idx="3">
                  <c:v>1675.1</c:v>
                </c:pt>
                <c:pt idx="4">
                  <c:v>2052.6999999999998</c:v>
                </c:pt>
                <c:pt idx="5">
                  <c:v>2369.1999999999998</c:v>
                </c:pt>
                <c:pt idx="6">
                  <c:v>3165.9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Tensile!$V$14:$V$20</c15:f>
                <c15:dlblRangeCache>
                  <c:ptCount val="7"/>
                  <c:pt idx="2">
                    <c:v>21.7%</c:v>
                  </c:pt>
                  <c:pt idx="3">
                    <c:v>1.9%</c:v>
                  </c:pt>
                  <c:pt idx="4">
                    <c:v>20.5%</c:v>
                  </c:pt>
                  <c:pt idx="5">
                    <c:v>15.4%</c:v>
                  </c:pt>
                  <c:pt idx="6">
                    <c:v>33.6%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209-4087-A3D1-F04263D000F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5669519"/>
        <c:axId val="1745676239"/>
      </c:lineChart>
      <c:catAx>
        <c:axId val="1745669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Element Size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76239"/>
        <c:crosses val="autoZero"/>
        <c:auto val="1"/>
        <c:lblAlgn val="ctr"/>
        <c:lblOffset val="100"/>
        <c:noMultiLvlLbl val="0"/>
      </c:catAx>
      <c:valAx>
        <c:axId val="1745676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Stress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69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Normal Stress (4</a:t>
            </a:r>
            <a:r>
              <a:rPr lang="en-US" baseline="0"/>
              <a:t> Layer Plies)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Flexural!$A$13</c:f>
              <c:strCache>
                <c:ptCount val="1"/>
                <c:pt idx="0">
                  <c:v>Element Size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AA8D8C1-44BB-4024-8CA2-C1AEF25801C3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4863-4860-9BB9-12A183A3486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E739F8E-D0FC-4137-99F1-A1519EF84700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4863-4860-9BB9-12A183A3486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575D144-D052-4A2B-855D-42086B4F02DA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4863-4860-9BB9-12A183A3486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8906B737-53C6-4CBB-AE70-3C39CA73E285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4863-4860-9BB9-12A183A3486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C299E65-1696-4C1F-B5F3-7D098B1A3E57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4863-4860-9BB9-12A183A3486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Flexural!$A$14:$A$18</c:f>
              <c:strCache>
                <c:ptCount val="5"/>
                <c:pt idx="0">
                  <c:v>x</c:v>
                </c:pt>
                <c:pt idx="1">
                  <c:v>4mm</c:v>
                </c:pt>
                <c:pt idx="2">
                  <c:v>3mm</c:v>
                </c:pt>
                <c:pt idx="3">
                  <c:v>2mm</c:v>
                </c:pt>
                <c:pt idx="4">
                  <c:v>1mm</c:v>
                </c:pt>
              </c:strCache>
            </c:strRef>
          </c:cat>
          <c:val>
            <c:numRef>
              <c:f>Flexural!$E$5:$E$9</c:f>
              <c:numCache>
                <c:formatCode>General</c:formatCode>
                <c:ptCount val="5"/>
                <c:pt idx="0">
                  <c:v>0</c:v>
                </c:pt>
                <c:pt idx="1">
                  <c:v>2448.8000000000002</c:v>
                </c:pt>
                <c:pt idx="2">
                  <c:v>2505.6</c:v>
                </c:pt>
                <c:pt idx="3">
                  <c:v>2469.4</c:v>
                </c:pt>
                <c:pt idx="4">
                  <c:v>2526.1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Flexural!$AC$4:$AC$8</c15:f>
                <c15:dlblRangeCache>
                  <c:ptCount val="5"/>
                  <c:pt idx="2">
                    <c:v>2.3%</c:v>
                  </c:pt>
                  <c:pt idx="3">
                    <c:v>-1.5%</c:v>
                  </c:pt>
                  <c:pt idx="4">
                    <c:v>2.3%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4863-4860-9BB9-12A183A3486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5669519"/>
        <c:axId val="1745676239"/>
      </c:lineChart>
      <c:catAx>
        <c:axId val="1745669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Element Size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76239"/>
        <c:crosses val="autoZero"/>
        <c:auto val="1"/>
        <c:lblAlgn val="ctr"/>
        <c:lblOffset val="100"/>
        <c:noMultiLvlLbl val="0"/>
      </c:catAx>
      <c:valAx>
        <c:axId val="1745676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Stress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69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Equivalent</a:t>
            </a:r>
            <a:r>
              <a:rPr lang="en-US" baseline="0"/>
              <a:t> Von Mises </a:t>
            </a:r>
            <a:r>
              <a:rPr lang="en-US"/>
              <a:t>(4</a:t>
            </a:r>
            <a:r>
              <a:rPr lang="en-US" baseline="0"/>
              <a:t> Layer Plies)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Flexural!$A$13</c:f>
              <c:strCache>
                <c:ptCount val="1"/>
                <c:pt idx="0">
                  <c:v>Element Size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F3C6DB15-9153-4C97-9CFD-FD294C49212F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D84C-48CF-AD39-F8FB83386E5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0D37F94-7046-4B23-AC49-CFEFDA60E757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9-D84C-48CF-AD39-F8FB83386E5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1A4074A-FB8F-4F31-9F89-8AAF68803FE2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D84C-48CF-AD39-F8FB83386E5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E8BF37F-8DED-43C5-A4AF-9CF7055C0FAC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D84C-48CF-AD39-F8FB83386E5A}"/>
                </c:ext>
              </c:extLst>
            </c:dLbl>
            <c:dLbl>
              <c:idx val="4"/>
              <c:tx>
                <c:rich>
                  <a:bodyPr rot="0" spcFirstLastPara="1" vertOverflow="ellipsis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75000"/>
                            <a:lumOff val="2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fld id="{282A73EF-A48C-4B1F-AEA9-91287C0FDBB0}" type="CELLRANGE">
                      <a:rPr lang="en-ZA"/>
                      <a:pPr>
                        <a:defRPr/>
                      </a:pPr>
                      <a:t>[CELLRANGE]</a:t>
                    </a:fld>
                    <a:endParaRPr lang="en-ZA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D84C-48CF-AD39-F8FB83386E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Flexural!$A$14:$A$18</c:f>
              <c:strCache>
                <c:ptCount val="5"/>
                <c:pt idx="0">
                  <c:v>x</c:v>
                </c:pt>
                <c:pt idx="1">
                  <c:v>4mm</c:v>
                </c:pt>
                <c:pt idx="2">
                  <c:v>3mm</c:v>
                </c:pt>
                <c:pt idx="3">
                  <c:v>2mm</c:v>
                </c:pt>
                <c:pt idx="4">
                  <c:v>1mm</c:v>
                </c:pt>
              </c:strCache>
            </c:strRef>
          </c:cat>
          <c:val>
            <c:numRef>
              <c:f>Flexural!$G$5:$G$9</c:f>
              <c:numCache>
                <c:formatCode>General</c:formatCode>
                <c:ptCount val="5"/>
                <c:pt idx="0">
                  <c:v>0</c:v>
                </c:pt>
                <c:pt idx="1">
                  <c:v>2445.6</c:v>
                </c:pt>
                <c:pt idx="2">
                  <c:v>2501.5</c:v>
                </c:pt>
                <c:pt idx="3">
                  <c:v>2449.6</c:v>
                </c:pt>
                <c:pt idx="4">
                  <c:v>2532.4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Flexural!$AG$4:$AG$8</c15:f>
                <c15:dlblRangeCache>
                  <c:ptCount val="5"/>
                  <c:pt idx="2">
                    <c:v>2.3%</c:v>
                  </c:pt>
                  <c:pt idx="3">
                    <c:v>-2.1%</c:v>
                  </c:pt>
                  <c:pt idx="4">
                    <c:v>3.3%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D84C-48CF-AD39-F8FB83386E5A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5669519"/>
        <c:axId val="1745676239"/>
      </c:lineChart>
      <c:catAx>
        <c:axId val="1745669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Element Size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76239"/>
        <c:crosses val="autoZero"/>
        <c:auto val="1"/>
        <c:lblAlgn val="ctr"/>
        <c:lblOffset val="100"/>
        <c:noMultiLvlLbl val="0"/>
      </c:catAx>
      <c:valAx>
        <c:axId val="174567623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Stress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69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Equivalent</a:t>
            </a:r>
            <a:r>
              <a:rPr lang="en-US" baseline="0"/>
              <a:t> Von Mises Strain </a:t>
            </a:r>
            <a:r>
              <a:rPr lang="en-US"/>
              <a:t>(4</a:t>
            </a:r>
            <a:r>
              <a:rPr lang="en-US" baseline="0"/>
              <a:t> Layer Plies)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Flexural!$A$13</c:f>
              <c:strCache>
                <c:ptCount val="1"/>
                <c:pt idx="0">
                  <c:v>Element Size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2D7AA03-8EF3-4123-A5B2-1B608E8AD69D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4C53-4691-949C-0779E75CD117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5B548308-F0CB-4B04-B655-31FEBA48F8B4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4C53-4691-949C-0779E75CD117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A760E51-A650-44E4-8729-E177CBE1ED03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4C53-4691-949C-0779E75CD117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3A0416F9-FEF1-4493-B4CB-B94369C8C202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4C53-4691-949C-0779E75CD117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25A63FAE-E521-4786-A89D-0A99FBB05577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4C53-4691-949C-0779E75CD11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Flexural!$A$14:$A$18</c:f>
              <c:strCache>
                <c:ptCount val="5"/>
                <c:pt idx="0">
                  <c:v>x</c:v>
                </c:pt>
                <c:pt idx="1">
                  <c:v>4mm</c:v>
                </c:pt>
                <c:pt idx="2">
                  <c:v>3mm</c:v>
                </c:pt>
                <c:pt idx="3">
                  <c:v>2mm</c:v>
                </c:pt>
                <c:pt idx="4">
                  <c:v>1mm</c:v>
                </c:pt>
              </c:strCache>
            </c:strRef>
          </c:cat>
          <c:val>
            <c:numRef>
              <c:f>Flexural!$F$5:$F$9</c:f>
              <c:numCache>
                <c:formatCode>General</c:formatCode>
                <c:ptCount val="5"/>
                <c:pt idx="0">
                  <c:v>0</c:v>
                </c:pt>
                <c:pt idx="1">
                  <c:v>4.1890999999999998E-2</c:v>
                </c:pt>
                <c:pt idx="2">
                  <c:v>4.2458999999999997E-2</c:v>
                </c:pt>
                <c:pt idx="3">
                  <c:v>4.0788999999999999E-2</c:v>
                </c:pt>
                <c:pt idx="4">
                  <c:v>4.1619000000000003E-2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Flexural!$AE$4:$AE$8</c15:f>
                <c15:dlblRangeCache>
                  <c:ptCount val="5"/>
                  <c:pt idx="2">
                    <c:v>1.3%</c:v>
                  </c:pt>
                  <c:pt idx="3">
                    <c:v>-4.0%</c:v>
                  </c:pt>
                  <c:pt idx="4">
                    <c:v>2.0%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4C53-4691-949C-0779E75CD11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5669519"/>
        <c:axId val="1745676239"/>
      </c:lineChart>
      <c:catAx>
        <c:axId val="1745669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Element Size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76239"/>
        <c:crosses val="autoZero"/>
        <c:auto val="1"/>
        <c:lblAlgn val="ctr"/>
        <c:lblOffset val="100"/>
        <c:noMultiLvlLbl val="0"/>
      </c:catAx>
      <c:valAx>
        <c:axId val="174567623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Strain (mm/mm)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69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Maximum Shear Stress</a:t>
            </a:r>
            <a:r>
              <a:rPr lang="en-US" baseline="0"/>
              <a:t> </a:t>
            </a:r>
            <a:r>
              <a:rPr lang="en-US"/>
              <a:t>(4</a:t>
            </a:r>
            <a:r>
              <a:rPr lang="en-US" baseline="0"/>
              <a:t> Layer Plies)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Flexural!$A$13</c:f>
              <c:strCache>
                <c:ptCount val="1"/>
                <c:pt idx="0">
                  <c:v>Element Size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5005CD1C-2B1A-4178-A3B8-3AD9E7F14703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7E75-42A9-B660-F735D4C1D1B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378616D-CB57-4BFB-8908-24CB1D339208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7E75-42A9-B660-F735D4C1D1B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F3CB33EB-81E0-4352-A59E-E75F5A375225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7E75-42A9-B660-F735D4C1D1B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6A29060-309D-4398-8781-4304BECE967C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7E75-42A9-B660-F735D4C1D1B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47D6806-C462-4B97-AEB8-5384BA5D72A5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7E75-42A9-B660-F735D4C1D1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Flexural!$A$14:$A$18</c:f>
              <c:strCache>
                <c:ptCount val="5"/>
                <c:pt idx="0">
                  <c:v>x</c:v>
                </c:pt>
                <c:pt idx="1">
                  <c:v>4mm</c:v>
                </c:pt>
                <c:pt idx="2">
                  <c:v>3mm</c:v>
                </c:pt>
                <c:pt idx="3">
                  <c:v>2mm</c:v>
                </c:pt>
                <c:pt idx="4">
                  <c:v>1mm</c:v>
                </c:pt>
              </c:strCache>
            </c:strRef>
          </c:cat>
          <c:val>
            <c:numRef>
              <c:f>Flexural!$H$5:$H$9</c:f>
              <c:numCache>
                <c:formatCode>General</c:formatCode>
                <c:ptCount val="5"/>
                <c:pt idx="0">
                  <c:v>0</c:v>
                </c:pt>
                <c:pt idx="1">
                  <c:v>1233.8</c:v>
                </c:pt>
                <c:pt idx="2">
                  <c:v>1261</c:v>
                </c:pt>
                <c:pt idx="3">
                  <c:v>1234.4000000000001</c:v>
                </c:pt>
                <c:pt idx="4">
                  <c:v>1267.7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Flexural!$AI$4:$AI$8</c15:f>
                <c15:dlblRangeCache>
                  <c:ptCount val="5"/>
                  <c:pt idx="2">
                    <c:v>2.2%</c:v>
                  </c:pt>
                  <c:pt idx="3">
                    <c:v>-2.1%</c:v>
                  </c:pt>
                  <c:pt idx="4">
                    <c:v>2.7%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7E75-42A9-B660-F735D4C1D1B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5669519"/>
        <c:axId val="1745676239"/>
      </c:lineChart>
      <c:catAx>
        <c:axId val="1745669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Element Size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76239"/>
        <c:crosses val="autoZero"/>
        <c:auto val="1"/>
        <c:lblAlgn val="ctr"/>
        <c:lblOffset val="100"/>
        <c:noMultiLvlLbl val="0"/>
      </c:catAx>
      <c:valAx>
        <c:axId val="174567623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Stress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69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Normal Stress (6</a:t>
            </a:r>
            <a:r>
              <a:rPr lang="en-US" baseline="0"/>
              <a:t> Layer Plies)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Flexural!$A$13</c:f>
              <c:strCache>
                <c:ptCount val="1"/>
                <c:pt idx="0">
                  <c:v>Element Size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D17E7BB4-28D1-4C46-AE1C-C9629B6370DF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5600-4C5D-8751-D3251C7E7E7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60E1006-312C-41E5-A15E-8540ECDCB67C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5600-4C5D-8751-D3251C7E7E7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98E2DAA6-7163-422F-AEA4-1ACC687DDFFE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5600-4C5D-8751-D3251C7E7E7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61FF31A-215F-4DD6-8E9D-5DAA63C6808D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5600-4C5D-8751-D3251C7E7E7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FD962C7-AB42-4958-B0BE-DCCD3992FE7F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5600-4C5D-8751-D3251C7E7E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Flexural!$A$14:$A$18</c:f>
              <c:strCache>
                <c:ptCount val="5"/>
                <c:pt idx="0">
                  <c:v>x</c:v>
                </c:pt>
                <c:pt idx="1">
                  <c:v>4mm</c:v>
                </c:pt>
                <c:pt idx="2">
                  <c:v>3mm</c:v>
                </c:pt>
                <c:pt idx="3">
                  <c:v>2mm</c:v>
                </c:pt>
                <c:pt idx="4">
                  <c:v>1mm</c:v>
                </c:pt>
              </c:strCache>
            </c:strRef>
          </c:cat>
          <c:val>
            <c:numRef>
              <c:f>Flexural!$E$14:$E$18</c:f>
              <c:numCache>
                <c:formatCode>General</c:formatCode>
                <c:ptCount val="5"/>
                <c:pt idx="0">
                  <c:v>0</c:v>
                </c:pt>
                <c:pt idx="1">
                  <c:v>1480.1</c:v>
                </c:pt>
                <c:pt idx="2">
                  <c:v>1501.1</c:v>
                </c:pt>
                <c:pt idx="3">
                  <c:v>1510</c:v>
                </c:pt>
                <c:pt idx="4">
                  <c:v>1519.1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Flexural!$AC$13:$AC$17</c15:f>
                <c15:dlblRangeCache>
                  <c:ptCount val="5"/>
                  <c:pt idx="2">
                    <c:v>1.4%</c:v>
                  </c:pt>
                  <c:pt idx="3">
                    <c:v>0.6%</c:v>
                  </c:pt>
                  <c:pt idx="4">
                    <c:v>0.6%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5600-4C5D-8751-D3251C7E7E7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5669519"/>
        <c:axId val="1745676239"/>
      </c:lineChart>
      <c:catAx>
        <c:axId val="1745669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Element Size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76239"/>
        <c:crosses val="autoZero"/>
        <c:auto val="1"/>
        <c:lblAlgn val="ctr"/>
        <c:lblOffset val="100"/>
        <c:noMultiLvlLbl val="0"/>
      </c:catAx>
      <c:valAx>
        <c:axId val="1745676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Stress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69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Equivalent</a:t>
            </a:r>
            <a:r>
              <a:rPr lang="en-US" baseline="0"/>
              <a:t> Von Mises </a:t>
            </a:r>
            <a:r>
              <a:rPr lang="en-US"/>
              <a:t>(6</a:t>
            </a:r>
            <a:r>
              <a:rPr lang="en-US" baseline="0"/>
              <a:t> Layer Plies)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Flexural!$A$13</c:f>
              <c:strCache>
                <c:ptCount val="1"/>
                <c:pt idx="0">
                  <c:v>Element Size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EAFA29C6-0AE2-47DD-B52B-B8D6DBFFECDA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0169-4A97-A731-7495A8072778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78BF6C7-D06C-44CB-B93D-3C6B54F5C021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0169-4A97-A731-7495A807277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C321442B-D819-47E2-8FD9-BAD785FBDDB2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0169-4A97-A731-7495A8072778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D1851B5-0B10-4205-999A-8992462DDAB3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0169-4A97-A731-7495A807277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60EA8A83-8763-4691-A784-5BD066F5B493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0169-4A97-A731-7495A807277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Flexural!$A$14:$A$18</c:f>
              <c:strCache>
                <c:ptCount val="5"/>
                <c:pt idx="0">
                  <c:v>x</c:v>
                </c:pt>
                <c:pt idx="1">
                  <c:v>4mm</c:v>
                </c:pt>
                <c:pt idx="2">
                  <c:v>3mm</c:v>
                </c:pt>
                <c:pt idx="3">
                  <c:v>2mm</c:v>
                </c:pt>
                <c:pt idx="4">
                  <c:v>1mm</c:v>
                </c:pt>
              </c:strCache>
            </c:strRef>
          </c:cat>
          <c:val>
            <c:numRef>
              <c:f>Flexural!$G$14:$G$18</c:f>
              <c:numCache>
                <c:formatCode>General</c:formatCode>
                <c:ptCount val="5"/>
                <c:pt idx="0">
                  <c:v>0</c:v>
                </c:pt>
                <c:pt idx="1">
                  <c:v>1473.3</c:v>
                </c:pt>
                <c:pt idx="2">
                  <c:v>1495.7</c:v>
                </c:pt>
                <c:pt idx="3">
                  <c:v>1515.1</c:v>
                </c:pt>
                <c:pt idx="4">
                  <c:v>1557.3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Flexural!$AG$13:$AG$17</c15:f>
                <c15:dlblRangeCache>
                  <c:ptCount val="5"/>
                  <c:pt idx="2">
                    <c:v>1.5%</c:v>
                  </c:pt>
                  <c:pt idx="3">
                    <c:v>1.3%</c:v>
                  </c:pt>
                  <c:pt idx="4">
                    <c:v>2.7%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0169-4A97-A731-7495A807277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5669519"/>
        <c:axId val="1745676239"/>
      </c:lineChart>
      <c:catAx>
        <c:axId val="1745669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Element Size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76239"/>
        <c:crosses val="autoZero"/>
        <c:auto val="1"/>
        <c:lblAlgn val="ctr"/>
        <c:lblOffset val="100"/>
        <c:noMultiLvlLbl val="0"/>
      </c:catAx>
      <c:valAx>
        <c:axId val="174567623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Stress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69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Equivalent</a:t>
            </a:r>
            <a:r>
              <a:rPr lang="en-US" baseline="0"/>
              <a:t> Von Mises Strain </a:t>
            </a:r>
            <a:r>
              <a:rPr lang="en-US"/>
              <a:t>(6</a:t>
            </a:r>
            <a:r>
              <a:rPr lang="en-US" baseline="0"/>
              <a:t> Layer Plies)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Flexural!$A$13</c:f>
              <c:strCache>
                <c:ptCount val="1"/>
                <c:pt idx="0">
                  <c:v>Element Size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F0CA9EB-B013-4978-AB13-7241D9EA6CC4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8DDA-4102-823B-8A8DA706F46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9FB8509-958F-4A95-AB37-58F59173C987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8DDA-4102-823B-8A8DA706F46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3C2A139-4F09-45CA-BCDE-368FB0CEE86B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8DDA-4102-823B-8A8DA706F46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2C6E1FB-6587-4FB5-B120-A226A3FBD0E0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8DDA-4102-823B-8A8DA706F46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72076C2-DAC9-437D-868F-1A0A4472ABEF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8DDA-4102-823B-8A8DA706F46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Flexural!$A$14:$A$18</c:f>
              <c:strCache>
                <c:ptCount val="5"/>
                <c:pt idx="0">
                  <c:v>x</c:v>
                </c:pt>
                <c:pt idx="1">
                  <c:v>4mm</c:v>
                </c:pt>
                <c:pt idx="2">
                  <c:v>3mm</c:v>
                </c:pt>
                <c:pt idx="3">
                  <c:v>2mm</c:v>
                </c:pt>
                <c:pt idx="4">
                  <c:v>1mm</c:v>
                </c:pt>
              </c:strCache>
            </c:strRef>
          </c:cat>
          <c:val>
            <c:numRef>
              <c:f>Flexural!$F$14:$F$18</c:f>
              <c:numCache>
                <c:formatCode>General</c:formatCode>
                <c:ptCount val="5"/>
                <c:pt idx="0">
                  <c:v>0</c:v>
                </c:pt>
                <c:pt idx="1">
                  <c:v>2.5506000000000001E-2</c:v>
                </c:pt>
                <c:pt idx="2">
                  <c:v>2.5725000000000001E-2</c:v>
                </c:pt>
                <c:pt idx="3">
                  <c:v>2.4947E-2</c:v>
                </c:pt>
                <c:pt idx="4">
                  <c:v>2.5235E-2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Flexural!$AE$13:$AE$17</c15:f>
                <c15:dlblRangeCache>
                  <c:ptCount val="5"/>
                  <c:pt idx="2">
                    <c:v>0.9%</c:v>
                  </c:pt>
                  <c:pt idx="3">
                    <c:v>-3.1%</c:v>
                  </c:pt>
                  <c:pt idx="4">
                    <c:v>1.1%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8DDA-4102-823B-8A8DA706F46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5669519"/>
        <c:axId val="1745676239"/>
      </c:lineChart>
      <c:catAx>
        <c:axId val="1745669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Element Size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76239"/>
        <c:crosses val="autoZero"/>
        <c:auto val="1"/>
        <c:lblAlgn val="ctr"/>
        <c:lblOffset val="100"/>
        <c:noMultiLvlLbl val="0"/>
      </c:catAx>
      <c:valAx>
        <c:axId val="174567623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Strain (mm/mm)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69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Maximum Shear Stress</a:t>
            </a:r>
            <a:r>
              <a:rPr lang="en-US" baseline="0"/>
              <a:t> </a:t>
            </a:r>
            <a:r>
              <a:rPr lang="en-US"/>
              <a:t>(6</a:t>
            </a:r>
            <a:r>
              <a:rPr lang="en-US" baseline="0"/>
              <a:t> Layer Plies)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Flexural!$A$13</c:f>
              <c:strCache>
                <c:ptCount val="1"/>
                <c:pt idx="0">
                  <c:v>Element Size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FE85F65-AFE6-40DC-A453-87CDDB87F104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B90A-4C74-948B-FD24B2099EE4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2B56221-760D-482E-B354-41E581E91DEA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90A-4C74-948B-FD24B2099EE4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49B348F-C6E4-48A2-A5B4-E986C1EF698A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B90A-4C74-948B-FD24B2099EE4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40F04728-5384-487F-A3E7-82F7FC89BF33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B90A-4C74-948B-FD24B2099EE4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DD926A3-E86D-4674-AB63-1A2EFC31E77C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B90A-4C74-948B-FD24B2099EE4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Flexural!$A$14:$A$18</c:f>
              <c:strCache>
                <c:ptCount val="5"/>
                <c:pt idx="0">
                  <c:v>x</c:v>
                </c:pt>
                <c:pt idx="1">
                  <c:v>4mm</c:v>
                </c:pt>
                <c:pt idx="2">
                  <c:v>3mm</c:v>
                </c:pt>
                <c:pt idx="3">
                  <c:v>2mm</c:v>
                </c:pt>
                <c:pt idx="4">
                  <c:v>1mm</c:v>
                </c:pt>
              </c:strCache>
            </c:strRef>
          </c:cat>
          <c:val>
            <c:numRef>
              <c:f>Flexural!$H$14:$H$18</c:f>
              <c:numCache>
                <c:formatCode>General</c:formatCode>
                <c:ptCount val="5"/>
                <c:pt idx="0">
                  <c:v>0</c:v>
                </c:pt>
                <c:pt idx="1">
                  <c:v>742.72</c:v>
                </c:pt>
                <c:pt idx="2">
                  <c:v>753.7</c:v>
                </c:pt>
                <c:pt idx="3">
                  <c:v>758.99</c:v>
                </c:pt>
                <c:pt idx="4">
                  <c:v>782.38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Flexural!$AI$13:$AI$17</c15:f>
                <c15:dlblRangeCache>
                  <c:ptCount val="5"/>
                  <c:pt idx="2">
                    <c:v>1.5%</c:v>
                  </c:pt>
                  <c:pt idx="3">
                    <c:v>0.7%</c:v>
                  </c:pt>
                  <c:pt idx="4">
                    <c:v>3.0%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B90A-4C74-948B-FD24B2099EE4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5669519"/>
        <c:axId val="1745676239"/>
      </c:lineChart>
      <c:catAx>
        <c:axId val="1745669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Element Size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76239"/>
        <c:crosses val="autoZero"/>
        <c:auto val="1"/>
        <c:lblAlgn val="ctr"/>
        <c:lblOffset val="100"/>
        <c:noMultiLvlLbl val="0"/>
      </c:catAx>
      <c:valAx>
        <c:axId val="174567623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Stress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69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Normal Stress (8</a:t>
            </a:r>
            <a:r>
              <a:rPr lang="en-US" baseline="0"/>
              <a:t> Layer Plies)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Flexural!$A$13</c:f>
              <c:strCache>
                <c:ptCount val="1"/>
                <c:pt idx="0">
                  <c:v>Element Size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D2C5F61D-2116-4E30-B35B-4646C0142DD3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1A2-4A69-85B5-D707DABAB4C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80D5B4F-0423-4DA9-90FA-A5E2815B0E81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11A2-4A69-85B5-D707DABAB4C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A1529C6-4928-4C79-90A1-5CB353B39BD3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11A2-4A69-85B5-D707DABAB4C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3841A00-3E77-4E4F-91EB-B528A7D2ED35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11A2-4A69-85B5-D707DABAB4C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9E24EFE-384C-4CA4-8594-8947DA53D378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11A2-4A69-85B5-D707DABAB4C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Flexural!$A$14:$A$18</c:f>
              <c:strCache>
                <c:ptCount val="5"/>
                <c:pt idx="0">
                  <c:v>x</c:v>
                </c:pt>
                <c:pt idx="1">
                  <c:v>4mm</c:v>
                </c:pt>
                <c:pt idx="2">
                  <c:v>3mm</c:v>
                </c:pt>
                <c:pt idx="3">
                  <c:v>2mm</c:v>
                </c:pt>
                <c:pt idx="4">
                  <c:v>1mm</c:v>
                </c:pt>
              </c:strCache>
            </c:strRef>
          </c:cat>
          <c:val>
            <c:numRef>
              <c:f>Flexural!$E$23:$E$27</c:f>
              <c:numCache>
                <c:formatCode>General</c:formatCode>
                <c:ptCount val="5"/>
                <c:pt idx="0">
                  <c:v>0</c:v>
                </c:pt>
                <c:pt idx="1">
                  <c:v>880.88</c:v>
                </c:pt>
                <c:pt idx="2">
                  <c:v>891.13</c:v>
                </c:pt>
                <c:pt idx="3">
                  <c:v>902.69</c:v>
                </c:pt>
                <c:pt idx="4">
                  <c:v>900.16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Flexural!$AC$22:$AC$26</c15:f>
                <c15:dlblRangeCache>
                  <c:ptCount val="5"/>
                  <c:pt idx="2">
                    <c:v>1.2%</c:v>
                  </c:pt>
                  <c:pt idx="3">
                    <c:v>1.3%</c:v>
                  </c:pt>
                  <c:pt idx="4">
                    <c:v>-0.3%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11A2-4A69-85B5-D707DABAB4C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5669519"/>
        <c:axId val="1745676239"/>
      </c:lineChart>
      <c:catAx>
        <c:axId val="1745669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Element Size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76239"/>
        <c:crosses val="autoZero"/>
        <c:auto val="1"/>
        <c:lblAlgn val="ctr"/>
        <c:lblOffset val="100"/>
        <c:noMultiLvlLbl val="0"/>
      </c:catAx>
      <c:valAx>
        <c:axId val="1745676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Stress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69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Equivalent</a:t>
            </a:r>
            <a:r>
              <a:rPr lang="en-US" baseline="0"/>
              <a:t> Von Mises </a:t>
            </a:r>
            <a:r>
              <a:rPr lang="en-US"/>
              <a:t>(8</a:t>
            </a:r>
            <a:r>
              <a:rPr lang="en-US" baseline="0"/>
              <a:t> Layer Plies)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Flexural!$A$13</c:f>
              <c:strCache>
                <c:ptCount val="1"/>
                <c:pt idx="0">
                  <c:v>Element Size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7F883577-F3FF-4054-AA9E-DC95A917F973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E65D-4BD2-B72F-7DBE7E88BA7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64CD0BA-5E2C-43B4-9032-E6AFAEE72103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E65D-4BD2-B72F-7DBE7E88BA7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638EDE3-A2D8-4CBB-891B-E3AA2BE8E2DE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E65D-4BD2-B72F-7DBE7E88BA7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BC22B2C8-E4EF-4CC2-90B6-0745940523EB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E65D-4BD2-B72F-7DBE7E88BA7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3E00EAE-E479-4C52-8734-5A4A32B422B5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E65D-4BD2-B72F-7DBE7E88BA7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Flexural!$A$14:$A$18</c:f>
              <c:strCache>
                <c:ptCount val="5"/>
                <c:pt idx="0">
                  <c:v>x</c:v>
                </c:pt>
                <c:pt idx="1">
                  <c:v>4mm</c:v>
                </c:pt>
                <c:pt idx="2">
                  <c:v>3mm</c:v>
                </c:pt>
                <c:pt idx="3">
                  <c:v>2mm</c:v>
                </c:pt>
                <c:pt idx="4">
                  <c:v>1mm</c:v>
                </c:pt>
              </c:strCache>
            </c:strRef>
          </c:cat>
          <c:val>
            <c:numRef>
              <c:f>Flexural!$G$23:$G$27</c:f>
              <c:numCache>
                <c:formatCode>General</c:formatCode>
                <c:ptCount val="5"/>
                <c:pt idx="0">
                  <c:v>0</c:v>
                </c:pt>
                <c:pt idx="1">
                  <c:v>872.71</c:v>
                </c:pt>
                <c:pt idx="2">
                  <c:v>883.29</c:v>
                </c:pt>
                <c:pt idx="3">
                  <c:v>918</c:v>
                </c:pt>
                <c:pt idx="4">
                  <c:v>944.2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Flexural!$AG$22:$AG$26</c15:f>
                <c15:dlblRangeCache>
                  <c:ptCount val="5"/>
                  <c:pt idx="2">
                    <c:v>1.2%</c:v>
                  </c:pt>
                  <c:pt idx="3">
                    <c:v>3.9%</c:v>
                  </c:pt>
                  <c:pt idx="4">
                    <c:v>2.8%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E65D-4BD2-B72F-7DBE7E88BA7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5669519"/>
        <c:axId val="1745676239"/>
      </c:lineChart>
      <c:catAx>
        <c:axId val="1745669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Element Size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76239"/>
        <c:crosses val="autoZero"/>
        <c:auto val="1"/>
        <c:lblAlgn val="ctr"/>
        <c:lblOffset val="100"/>
        <c:noMultiLvlLbl val="0"/>
      </c:catAx>
      <c:valAx>
        <c:axId val="174567623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Stress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69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r>
              <a:rPr lang="en-US"/>
              <a:t>Normal Stress (4 Layer Plies)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Tensile!$E$4</c:f>
              <c:strCache>
                <c:ptCount val="1"/>
                <c:pt idx="0">
                  <c:v>Normal Stress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90E49BBF-A2C4-41E7-9BE5-99C26A6CBCA1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D2F8-4E5C-8F15-4246F132F97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E1C0B3AA-C8FB-43EF-B85C-8CD0EEF77B59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D2F8-4E5C-8F15-4246F132F97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EA78E07D-6FC1-4829-B391-D7640C04BB40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D2F8-4E5C-8F15-4246F132F97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F1DA4BA-6C79-4E35-A437-B663E9D4908D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D2F8-4E5C-8F15-4246F132F97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44EA1E7A-3069-4020-A569-2F1F8C62EF2A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D2F8-4E5C-8F15-4246F132F97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56E025A-B7F4-4F16-B650-489DA1082144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D2F8-4E5C-8F15-4246F132F97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50A96362-11D0-4AC7-B523-2C97A9EE523D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D2F8-4E5C-8F15-4246F132F9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Tensile!$A$5:$A$11</c:f>
              <c:strCache>
                <c:ptCount val="7"/>
                <c:pt idx="0">
                  <c:v>X</c:v>
                </c:pt>
                <c:pt idx="1">
                  <c:v>4mm</c:v>
                </c:pt>
                <c:pt idx="2">
                  <c:v>3mm</c:v>
                </c:pt>
                <c:pt idx="3">
                  <c:v>2mm</c:v>
                </c:pt>
                <c:pt idx="4">
                  <c:v>1mm</c:v>
                </c:pt>
                <c:pt idx="5">
                  <c:v>0.5mm</c:v>
                </c:pt>
                <c:pt idx="6">
                  <c:v>0.25mm</c:v>
                </c:pt>
              </c:strCache>
            </c:strRef>
          </c:cat>
          <c:val>
            <c:numRef>
              <c:f>Tensile!$E$5:$E$11</c:f>
              <c:numCache>
                <c:formatCode>General</c:formatCode>
                <c:ptCount val="7"/>
                <c:pt idx="0">
                  <c:v>10</c:v>
                </c:pt>
                <c:pt idx="1">
                  <c:v>1436.6</c:v>
                </c:pt>
                <c:pt idx="2">
                  <c:v>1879.9</c:v>
                </c:pt>
                <c:pt idx="3">
                  <c:v>1809.4</c:v>
                </c:pt>
                <c:pt idx="4">
                  <c:v>2212</c:v>
                </c:pt>
                <c:pt idx="5">
                  <c:v>2550.8000000000002</c:v>
                </c:pt>
                <c:pt idx="6">
                  <c:v>3392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Tensile!$V$5:$V$11</c15:f>
                <c15:dlblRangeCache>
                  <c:ptCount val="7"/>
                  <c:pt idx="2">
                    <c:v>27.2%</c:v>
                  </c:pt>
                  <c:pt idx="3">
                    <c:v>-3.8%</c:v>
                  </c:pt>
                  <c:pt idx="4">
                    <c:v>20.2%</c:v>
                  </c:pt>
                  <c:pt idx="5">
                    <c:v>15.3%</c:v>
                  </c:pt>
                  <c:pt idx="6">
                    <c:v>33.0%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1FFE-41E6-8933-21285C00C01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5669519"/>
        <c:axId val="1745676239"/>
      </c:lineChart>
      <c:catAx>
        <c:axId val="1745669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Element Size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45676239"/>
        <c:crosses val="autoZero"/>
        <c:auto val="1"/>
        <c:lblAlgn val="ctr"/>
        <c:lblOffset val="100"/>
        <c:noMultiLvlLbl val="0"/>
      </c:catAx>
      <c:valAx>
        <c:axId val="1745676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ZA"/>
                  <a:t>Stress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1745669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Times New Roman" panose="02020603050405020304" pitchFamily="18" charset="0"/>
          <a:cs typeface="Times New Roman" panose="02020603050405020304" pitchFamily="18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Equivalent</a:t>
            </a:r>
            <a:r>
              <a:rPr lang="en-US" baseline="0"/>
              <a:t> Von Mises Strain </a:t>
            </a:r>
            <a:r>
              <a:rPr lang="en-US"/>
              <a:t>(8</a:t>
            </a:r>
            <a:r>
              <a:rPr lang="en-US" baseline="0"/>
              <a:t> Layer Plies)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Flexural!$A$13</c:f>
              <c:strCache>
                <c:ptCount val="1"/>
                <c:pt idx="0">
                  <c:v>Element Size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324B690F-916B-4195-A62F-EB70957E5539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F36F-4B6F-971C-6A378312F59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69E4DC6-2E98-47C7-8C44-FD507ECA22F0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36F-4B6F-971C-6A378312F59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6A092CF-2F34-4D07-84C5-FF49AA52D274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F36F-4B6F-971C-6A378312F59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8F722E5-FA30-4099-9A20-FD90467CADE5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F36F-4B6F-971C-6A378312F59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FBB5384-B33E-4C75-B0E7-F64405BA499E}" type="CELLRANGE">
                      <a:rPr lang="en-ZA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F36F-4B6F-971C-6A378312F5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Flexural!$A$14:$A$18</c:f>
              <c:strCache>
                <c:ptCount val="5"/>
                <c:pt idx="0">
                  <c:v>x</c:v>
                </c:pt>
                <c:pt idx="1">
                  <c:v>4mm</c:v>
                </c:pt>
                <c:pt idx="2">
                  <c:v>3mm</c:v>
                </c:pt>
                <c:pt idx="3">
                  <c:v>2mm</c:v>
                </c:pt>
                <c:pt idx="4">
                  <c:v>1mm</c:v>
                </c:pt>
              </c:strCache>
            </c:strRef>
          </c:cat>
          <c:val>
            <c:numRef>
              <c:f>Flexural!$F$23:$F$27</c:f>
              <c:numCache>
                <c:formatCode>General</c:formatCode>
                <c:ptCount val="5"/>
                <c:pt idx="0">
                  <c:v>0</c:v>
                </c:pt>
                <c:pt idx="1">
                  <c:v>1.5417E-2</c:v>
                </c:pt>
                <c:pt idx="2">
                  <c:v>1.5665999999999999E-2</c:v>
                </c:pt>
                <c:pt idx="3">
                  <c:v>1.4917E-2</c:v>
                </c:pt>
                <c:pt idx="4">
                  <c:v>1.5273999999999999E-2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Flexural!$AE$22:$AE$26</c15:f>
                <c15:dlblRangeCache>
                  <c:ptCount val="5"/>
                  <c:pt idx="2">
                    <c:v>1.6%</c:v>
                  </c:pt>
                  <c:pt idx="3">
                    <c:v>-4.9%</c:v>
                  </c:pt>
                  <c:pt idx="4">
                    <c:v>2.4%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F36F-4B6F-971C-6A378312F593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5669519"/>
        <c:axId val="1745676239"/>
      </c:lineChart>
      <c:catAx>
        <c:axId val="1745669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Element Size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76239"/>
        <c:crosses val="autoZero"/>
        <c:auto val="1"/>
        <c:lblAlgn val="ctr"/>
        <c:lblOffset val="100"/>
        <c:noMultiLvlLbl val="0"/>
      </c:catAx>
      <c:valAx>
        <c:axId val="174567623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Strain (mm/mm)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69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Maximum Shear Stress</a:t>
            </a:r>
            <a:r>
              <a:rPr lang="en-US" baseline="0"/>
              <a:t> </a:t>
            </a:r>
            <a:r>
              <a:rPr lang="en-US"/>
              <a:t>(8</a:t>
            </a:r>
            <a:r>
              <a:rPr lang="en-US" baseline="0"/>
              <a:t> Layer Plies)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Flexural!$A$13</c:f>
              <c:strCache>
                <c:ptCount val="1"/>
                <c:pt idx="0">
                  <c:v>Element Size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0AB0A75D-2C29-44D4-8F4E-4D88EC649AFC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48CA-43B4-A2FE-CE3F7DFF057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C011388-CCFE-4EBB-B6F0-6842BB6840FA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48CA-43B4-A2FE-CE3F7DFF057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B916D0B-0B11-43C2-BCC0-913EB018C99F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48CA-43B4-A2FE-CE3F7DFF057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DFA1A64-3BBA-4715-9BB2-0BCDBB9AB302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48CA-43B4-A2FE-CE3F7DFF057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1AE0E039-16F4-4650-8419-91ADFE5FF8AC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48CA-43B4-A2FE-CE3F7DFF057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Flexural!$A$14:$A$18</c:f>
              <c:strCache>
                <c:ptCount val="5"/>
                <c:pt idx="0">
                  <c:v>x</c:v>
                </c:pt>
                <c:pt idx="1">
                  <c:v>4mm</c:v>
                </c:pt>
                <c:pt idx="2">
                  <c:v>3mm</c:v>
                </c:pt>
                <c:pt idx="3">
                  <c:v>2mm</c:v>
                </c:pt>
                <c:pt idx="4">
                  <c:v>1mm</c:v>
                </c:pt>
              </c:strCache>
            </c:strRef>
          </c:cat>
          <c:val>
            <c:numRef>
              <c:f>Flexural!$H$23:$H$27</c:f>
              <c:numCache>
                <c:formatCode>General</c:formatCode>
                <c:ptCount val="5"/>
                <c:pt idx="0">
                  <c:v>0</c:v>
                </c:pt>
                <c:pt idx="1">
                  <c:v>440.39</c:v>
                </c:pt>
                <c:pt idx="2">
                  <c:v>445.51</c:v>
                </c:pt>
                <c:pt idx="3">
                  <c:v>475.91</c:v>
                </c:pt>
                <c:pt idx="4">
                  <c:v>459.12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Flexural!$AI$22:$AI$26</c15:f>
                <c15:dlblRangeCache>
                  <c:ptCount val="5"/>
                  <c:pt idx="2">
                    <c:v>1.2%</c:v>
                  </c:pt>
                  <c:pt idx="3">
                    <c:v>6.6%</c:v>
                  </c:pt>
                  <c:pt idx="4">
                    <c:v>-3.6%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48CA-43B4-A2FE-CE3F7DFF0575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5669519"/>
        <c:axId val="1745676239"/>
      </c:lineChart>
      <c:catAx>
        <c:axId val="1745669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Element Size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76239"/>
        <c:crosses val="autoZero"/>
        <c:auto val="1"/>
        <c:lblAlgn val="ctr"/>
        <c:lblOffset val="100"/>
        <c:noMultiLvlLbl val="0"/>
      </c:catAx>
      <c:valAx>
        <c:axId val="1745676239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Stress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69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Normal Stress (8</a:t>
            </a:r>
            <a:r>
              <a:rPr lang="en-US" baseline="0"/>
              <a:t> Layer Plies)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Tensile!$E$13</c:f>
              <c:strCache>
                <c:ptCount val="1"/>
                <c:pt idx="0">
                  <c:v>Normal Stress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7305D260-3747-4C05-9BBA-468E9168FC0D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1235-4459-AFB1-F33663D98DC2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350BCCD-B623-4F84-83F0-DBCB3A6FC6AC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235-4459-AFB1-F33663D98DC2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03166C10-A8AB-4BAA-A0CB-0C03FE6C5285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1235-4459-AFB1-F33663D98DC2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916BAFC-DC9C-4E12-AFC5-EAE2B91FEBDB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1235-4459-AFB1-F33663D98DC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C2D1A3B-CC5A-42D0-A01B-729FBC480E30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1235-4459-AFB1-F33663D98DC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E98AE5E-4D22-49DC-A12A-835DB3F81A64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1235-4459-AFB1-F33663D98DC2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B33E6DC3-9BE5-4FEB-BE89-EB2EE0F799F2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1235-4459-AFB1-F33663D98DC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Tensile!$A$23:$A$29</c:f>
              <c:strCache>
                <c:ptCount val="7"/>
                <c:pt idx="0">
                  <c:v>X</c:v>
                </c:pt>
                <c:pt idx="1">
                  <c:v>4mm</c:v>
                </c:pt>
                <c:pt idx="2">
                  <c:v>3mm</c:v>
                </c:pt>
                <c:pt idx="3">
                  <c:v>2mm</c:v>
                </c:pt>
                <c:pt idx="4">
                  <c:v>1mm</c:v>
                </c:pt>
                <c:pt idx="5">
                  <c:v>0.5mm</c:v>
                </c:pt>
                <c:pt idx="6">
                  <c:v>0.25mm</c:v>
                </c:pt>
              </c:strCache>
            </c:strRef>
          </c:cat>
          <c:val>
            <c:numRef>
              <c:f>Tensile!$E$23:$E$29</c:f>
              <c:numCache>
                <c:formatCode>General</c:formatCode>
                <c:ptCount val="7"/>
                <c:pt idx="0">
                  <c:v>10</c:v>
                </c:pt>
                <c:pt idx="1">
                  <c:v>863.95</c:v>
                </c:pt>
                <c:pt idx="2">
                  <c:v>1043.2</c:v>
                </c:pt>
                <c:pt idx="3">
                  <c:v>1093.5999999999999</c:v>
                </c:pt>
                <c:pt idx="4">
                  <c:v>1340.7</c:v>
                </c:pt>
                <c:pt idx="5">
                  <c:v>1548.3</c:v>
                </c:pt>
                <c:pt idx="6">
                  <c:v>2075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Tensile!$V$23:$V$29</c15:f>
                <c15:dlblRangeCache>
                  <c:ptCount val="7"/>
                  <c:pt idx="2">
                    <c:v>19.0%</c:v>
                  </c:pt>
                  <c:pt idx="3">
                    <c:v>4.7%</c:v>
                  </c:pt>
                  <c:pt idx="4">
                    <c:v>20.5%</c:v>
                  </c:pt>
                  <c:pt idx="5">
                    <c:v>15.5%</c:v>
                  </c:pt>
                  <c:pt idx="6">
                    <c:v>34.0%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D4C4-4558-BC18-01D8F04D73D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5669519"/>
        <c:axId val="1745676239"/>
      </c:lineChart>
      <c:catAx>
        <c:axId val="1745669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Element Size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76239"/>
        <c:crosses val="autoZero"/>
        <c:auto val="1"/>
        <c:lblAlgn val="ctr"/>
        <c:lblOffset val="100"/>
        <c:noMultiLvlLbl val="0"/>
      </c:catAx>
      <c:valAx>
        <c:axId val="1745676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Stress (MPa)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69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Normal</a:t>
            </a:r>
            <a:r>
              <a:rPr lang="en-US" baseline="0"/>
              <a:t> Elastic Strain </a:t>
            </a:r>
            <a:r>
              <a:rPr lang="en-US"/>
              <a:t>(4</a:t>
            </a:r>
            <a:r>
              <a:rPr lang="en-US" baseline="0"/>
              <a:t> Layer Plies)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Tensile!$F$4</c:f>
              <c:strCache>
                <c:ptCount val="1"/>
                <c:pt idx="0">
                  <c:v>Normal Elastic Strain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47BD700D-2862-4BF2-B956-44325828E83E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175E-42F0-91FA-7591284E2693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C6C612E-157B-4851-B92F-403D170B176B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175E-42F0-91FA-7591284E2693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AA30417-159F-4A6A-BC06-A69848212645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175E-42F0-91FA-7591284E2693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18196758-200D-4899-A91F-B9536C4CDD1A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175E-42F0-91FA-7591284E2693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F8A2356-ED7A-4282-95E9-7BF9BE1B5D39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175E-42F0-91FA-7591284E2693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3C37DDBE-14C6-4A88-AA17-8139121AAE26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175E-42F0-91FA-7591284E2693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F9B0428-F9F6-41BE-839B-FA1734849EFF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175E-42F0-91FA-7591284E269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Tensile!$A$5:$A$11</c:f>
              <c:strCache>
                <c:ptCount val="7"/>
                <c:pt idx="0">
                  <c:v>X</c:v>
                </c:pt>
                <c:pt idx="1">
                  <c:v>4mm</c:v>
                </c:pt>
                <c:pt idx="2">
                  <c:v>3mm</c:v>
                </c:pt>
                <c:pt idx="3">
                  <c:v>2mm</c:v>
                </c:pt>
                <c:pt idx="4">
                  <c:v>1mm</c:v>
                </c:pt>
                <c:pt idx="5">
                  <c:v>0.5mm</c:v>
                </c:pt>
                <c:pt idx="6">
                  <c:v>0.25mm</c:v>
                </c:pt>
              </c:strCache>
            </c:strRef>
          </c:cat>
          <c:val>
            <c:numRef>
              <c:f>Tensile!$F$5:$F$11</c:f>
              <c:numCache>
                <c:formatCode>General</c:formatCode>
                <c:ptCount val="7"/>
                <c:pt idx="0">
                  <c:v>0</c:v>
                </c:pt>
                <c:pt idx="1">
                  <c:v>1.958E-2</c:v>
                </c:pt>
                <c:pt idx="2">
                  <c:v>2.5994E-2</c:v>
                </c:pt>
                <c:pt idx="3">
                  <c:v>2.4437E-2</c:v>
                </c:pt>
                <c:pt idx="4">
                  <c:v>2.9838E-2</c:v>
                </c:pt>
                <c:pt idx="5">
                  <c:v>3.533E-2</c:v>
                </c:pt>
                <c:pt idx="6">
                  <c:v>4.6951E-2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Tensile!$X$5:$X$11</c15:f>
                <c15:dlblRangeCache>
                  <c:ptCount val="7"/>
                  <c:pt idx="2">
                    <c:v>28.7%</c:v>
                  </c:pt>
                  <c:pt idx="3">
                    <c:v>-6.2%</c:v>
                  </c:pt>
                  <c:pt idx="4">
                    <c:v>20.1%</c:v>
                  </c:pt>
                  <c:pt idx="5">
                    <c:v>18.4%</c:v>
                  </c:pt>
                  <c:pt idx="6">
                    <c:v>32.9%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3E8C-4E9E-8C63-757D26ECED9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5669519"/>
        <c:axId val="1745676239"/>
      </c:lineChart>
      <c:catAx>
        <c:axId val="1745669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Element Size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76239"/>
        <c:crosses val="autoZero"/>
        <c:auto val="1"/>
        <c:lblAlgn val="ctr"/>
        <c:lblOffset val="100"/>
        <c:noMultiLvlLbl val="0"/>
      </c:catAx>
      <c:valAx>
        <c:axId val="1745676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Strain (mm/mm)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69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Normal</a:t>
            </a:r>
            <a:r>
              <a:rPr lang="en-US" baseline="0"/>
              <a:t> Elastic Strain </a:t>
            </a:r>
            <a:r>
              <a:rPr lang="en-US"/>
              <a:t>(6</a:t>
            </a:r>
            <a:r>
              <a:rPr lang="en-US" baseline="0"/>
              <a:t> Layer Plies)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Tensile!$F$4</c:f>
              <c:strCache>
                <c:ptCount val="1"/>
                <c:pt idx="0">
                  <c:v>Normal Elastic Strain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FBA21277-E600-4327-A653-80B10D44BA71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CC04-440B-8E5E-A2826CC4E56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DBD711A3-0833-47DA-B76A-65862D72C9E0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CC04-440B-8E5E-A2826CC4E56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6A43E7B-7EAB-4FCA-9655-FB3E846C6305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CC04-440B-8E5E-A2826CC4E56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28815E9A-8E87-4A12-83ED-A9E9367712C6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CC04-440B-8E5E-A2826CC4E565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4FEBBE6-3973-409B-9722-0D7E31383544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CC04-440B-8E5E-A2826CC4E565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E956DD5-E804-44F8-B984-3472E445A217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CC04-440B-8E5E-A2826CC4E565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17156F7-462D-4829-B390-8A1C61B4E919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CC04-440B-8E5E-A2826CC4E56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Tensile!$A$5:$A$11</c:f>
              <c:strCache>
                <c:ptCount val="7"/>
                <c:pt idx="0">
                  <c:v>X</c:v>
                </c:pt>
                <c:pt idx="1">
                  <c:v>4mm</c:v>
                </c:pt>
                <c:pt idx="2">
                  <c:v>3mm</c:v>
                </c:pt>
                <c:pt idx="3">
                  <c:v>2mm</c:v>
                </c:pt>
                <c:pt idx="4">
                  <c:v>1mm</c:v>
                </c:pt>
                <c:pt idx="5">
                  <c:v>0.5mm</c:v>
                </c:pt>
                <c:pt idx="6">
                  <c:v>0.25mm</c:v>
                </c:pt>
              </c:strCache>
            </c:strRef>
          </c:cat>
          <c:val>
            <c:numRef>
              <c:f>Tensile!$F$14:$F$20</c:f>
              <c:numCache>
                <c:formatCode>General</c:formatCode>
                <c:ptCount val="7"/>
                <c:pt idx="0">
                  <c:v>0</c:v>
                </c:pt>
                <c:pt idx="1">
                  <c:v>1.7989999999999999E-2</c:v>
                </c:pt>
                <c:pt idx="2">
                  <c:v>2.273E-2</c:v>
                </c:pt>
                <c:pt idx="3">
                  <c:v>2.2647E-2</c:v>
                </c:pt>
                <c:pt idx="4">
                  <c:v>2.7688999999999998E-2</c:v>
                </c:pt>
                <c:pt idx="5">
                  <c:v>3.2530999999999997E-2</c:v>
                </c:pt>
                <c:pt idx="6">
                  <c:v>4.3815E-2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Tensile!$X$14:$X$20</c15:f>
                <c15:dlblRangeCache>
                  <c:ptCount val="7"/>
                  <c:pt idx="2">
                    <c:v>23.6%</c:v>
                  </c:pt>
                  <c:pt idx="3">
                    <c:v>-0.4%</c:v>
                  </c:pt>
                  <c:pt idx="4">
                    <c:v>20.2%</c:v>
                  </c:pt>
                  <c:pt idx="5">
                    <c:v>17.5%</c:v>
                  </c:pt>
                  <c:pt idx="6">
                    <c:v>34.7%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DC0C-4DCE-89A5-4CE4B898EB57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5669519"/>
        <c:axId val="1745676239"/>
      </c:lineChart>
      <c:catAx>
        <c:axId val="1745669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Element Size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76239"/>
        <c:crosses val="autoZero"/>
        <c:auto val="1"/>
        <c:lblAlgn val="ctr"/>
        <c:lblOffset val="100"/>
        <c:noMultiLvlLbl val="0"/>
      </c:catAx>
      <c:valAx>
        <c:axId val="1745676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Strain (mm/mm)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69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Normal</a:t>
            </a:r>
            <a:r>
              <a:rPr lang="en-US" baseline="0"/>
              <a:t> Elastic Strain </a:t>
            </a:r>
            <a:r>
              <a:rPr lang="en-US"/>
              <a:t>(8</a:t>
            </a:r>
            <a:r>
              <a:rPr lang="en-US" baseline="0"/>
              <a:t> Layer Plies)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Tensile!$F$4</c:f>
              <c:strCache>
                <c:ptCount val="1"/>
                <c:pt idx="0">
                  <c:v>Normal Elastic Strain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2EBD567E-4C9E-483C-8C8B-7E6080E54E78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FBF2-4591-AA68-F4CAAEB889FC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57875C6-57A4-48F6-A805-EAEC0B7FE1A0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FBF2-4591-AA68-F4CAAEB889FC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94BE3AB-E0A4-42F7-88DB-937801187E3F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F2-4591-AA68-F4CAAEB889FC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70D0EB1-AE3A-473B-974A-453CFFA491A5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FBF2-4591-AA68-F4CAAEB889FC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D8D63B27-D9CF-46BB-B2D4-A0FE515B6311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F2-4591-AA68-F4CAAEB889FC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8A2A249-67FA-4C32-A3F4-FB2B6F97825F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FBF2-4591-AA68-F4CAAEB889FC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27A5AEF5-2923-412D-942D-633DD49CA522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F2-4591-AA68-F4CAAEB889F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Tensile!$A$5:$A$11</c:f>
              <c:strCache>
                <c:ptCount val="7"/>
                <c:pt idx="0">
                  <c:v>X</c:v>
                </c:pt>
                <c:pt idx="1">
                  <c:v>4mm</c:v>
                </c:pt>
                <c:pt idx="2">
                  <c:v>3mm</c:v>
                </c:pt>
                <c:pt idx="3">
                  <c:v>2mm</c:v>
                </c:pt>
                <c:pt idx="4">
                  <c:v>1mm</c:v>
                </c:pt>
                <c:pt idx="5">
                  <c:v>0.5mm</c:v>
                </c:pt>
                <c:pt idx="6">
                  <c:v>0.25mm</c:v>
                </c:pt>
              </c:strCache>
            </c:strRef>
          </c:cat>
          <c:val>
            <c:numRef>
              <c:f>Tensile!$F$23:$F$29</c:f>
              <c:numCache>
                <c:formatCode>General</c:formatCode>
                <c:ptCount val="7"/>
                <c:pt idx="0">
                  <c:v>0</c:v>
                </c:pt>
                <c:pt idx="1">
                  <c:v>1.1726E-2</c:v>
                </c:pt>
                <c:pt idx="2">
                  <c:v>1.4428E-2</c:v>
                </c:pt>
                <c:pt idx="3">
                  <c:v>1.478E-2</c:v>
                </c:pt>
                <c:pt idx="4">
                  <c:v>1.8086000000000001E-2</c:v>
                </c:pt>
                <c:pt idx="5">
                  <c:v>2.1257000000000002E-2</c:v>
                </c:pt>
                <c:pt idx="6">
                  <c:v>2.8733000000000002E-2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Tensile!$X$23:$X$29</c15:f>
                <c15:dlblRangeCache>
                  <c:ptCount val="7"/>
                  <c:pt idx="2">
                    <c:v>20.9%</c:v>
                  </c:pt>
                  <c:pt idx="3">
                    <c:v>2.4%</c:v>
                  </c:pt>
                  <c:pt idx="4">
                    <c:v>20.3%</c:v>
                  </c:pt>
                  <c:pt idx="5">
                    <c:v>17.5%</c:v>
                  </c:pt>
                  <c:pt idx="6">
                    <c:v>35.2%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2062-4A06-8783-3B0F35BFD7BC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5669519"/>
        <c:axId val="1745676239"/>
      </c:lineChart>
      <c:catAx>
        <c:axId val="1745669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Element Size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76239"/>
        <c:crosses val="autoZero"/>
        <c:auto val="1"/>
        <c:lblAlgn val="ctr"/>
        <c:lblOffset val="100"/>
        <c:noMultiLvlLbl val="0"/>
      </c:catAx>
      <c:valAx>
        <c:axId val="1745676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Strain (mm/mm)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69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Lateral Deformation (4</a:t>
            </a:r>
            <a:r>
              <a:rPr lang="en-US" baseline="0"/>
              <a:t> Layer Plies)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Tensile!$F$4</c:f>
              <c:strCache>
                <c:ptCount val="1"/>
                <c:pt idx="0">
                  <c:v>Normal Elastic Strain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E06F6B57-7D7C-4F99-8D6A-1C90105A7540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B7D3-4536-926A-193364EE820B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77A829B-3873-4514-9B2B-65A1F2C5DC15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B7D3-4536-926A-193364EE820B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23E7995-84ED-4CB1-8D4B-CFDFFDD97E4C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B7D3-4536-926A-193364EE820B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2BF2784-70C8-4C29-AA23-C940529BF482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B7D3-4536-926A-193364EE820B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AF63B23-6EAA-4C5A-A989-F2616B6AA354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B7D3-4536-926A-193364EE820B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01F77A3-A3BC-4CBC-9C41-AE3E9CEFEAE0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B7D3-4536-926A-193364EE820B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2F628E6-8576-468F-8FF0-AE989A34FC52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B7D3-4536-926A-193364EE820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Tensile!$A$5:$A$11</c:f>
              <c:strCache>
                <c:ptCount val="7"/>
                <c:pt idx="0">
                  <c:v>X</c:v>
                </c:pt>
                <c:pt idx="1">
                  <c:v>4mm</c:v>
                </c:pt>
                <c:pt idx="2">
                  <c:v>3mm</c:v>
                </c:pt>
                <c:pt idx="3">
                  <c:v>2mm</c:v>
                </c:pt>
                <c:pt idx="4">
                  <c:v>1mm</c:v>
                </c:pt>
                <c:pt idx="5">
                  <c:v>0.5mm</c:v>
                </c:pt>
                <c:pt idx="6">
                  <c:v>0.25mm</c:v>
                </c:pt>
              </c:strCache>
            </c:strRef>
          </c:cat>
          <c:val>
            <c:numRef>
              <c:f>Tensile!$I$5:$I$11</c:f>
              <c:numCache>
                <c:formatCode>General</c:formatCode>
                <c:ptCount val="7"/>
                <c:pt idx="0">
                  <c:v>0</c:v>
                </c:pt>
                <c:pt idx="1">
                  <c:v>1.3608E-2</c:v>
                </c:pt>
                <c:pt idx="2">
                  <c:v>2.8310999999999999E-2</c:v>
                </c:pt>
                <c:pt idx="3">
                  <c:v>1.5442000000000001E-2</c:v>
                </c:pt>
                <c:pt idx="4">
                  <c:v>1.4893999999999999E-2</c:v>
                </c:pt>
                <c:pt idx="5">
                  <c:v>1.4947E-2</c:v>
                </c:pt>
                <c:pt idx="6">
                  <c:v>1.5133000000000001E-2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Tensile!$AD$5:$AD$11</c15:f>
                <c15:dlblRangeCache>
                  <c:ptCount val="7"/>
                  <c:pt idx="2">
                    <c:v>80.0%</c:v>
                  </c:pt>
                  <c:pt idx="3">
                    <c:v>-64.4%</c:v>
                  </c:pt>
                  <c:pt idx="4">
                    <c:v>-3.6%</c:v>
                  </c:pt>
                  <c:pt idx="5">
                    <c:v>0.4%</c:v>
                  </c:pt>
                  <c:pt idx="6">
                    <c:v>1.2%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E96D-49BB-BF1F-6D571825C05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5669519"/>
        <c:axId val="1745676239"/>
      </c:lineChart>
      <c:catAx>
        <c:axId val="1745669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Element Size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76239"/>
        <c:crosses val="autoZero"/>
        <c:auto val="1"/>
        <c:lblAlgn val="ctr"/>
        <c:lblOffset val="100"/>
        <c:noMultiLvlLbl val="0"/>
      </c:catAx>
      <c:valAx>
        <c:axId val="1745676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Lateral</a:t>
                </a:r>
                <a:r>
                  <a:rPr lang="en-ZA" baseline="0"/>
                  <a:t> Deformation</a:t>
                </a:r>
                <a:r>
                  <a:rPr lang="en-ZA"/>
                  <a:t> (mm)</a:t>
                </a:r>
              </a:p>
            </c:rich>
          </c:tx>
          <c:layout>
            <c:manualLayout>
              <c:xMode val="edge"/>
              <c:yMode val="edge"/>
              <c:x val="2.9218414318955572E-2"/>
              <c:y val="0.1306666666666666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69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Lateral Deformation (6</a:t>
            </a:r>
            <a:r>
              <a:rPr lang="en-US" baseline="0"/>
              <a:t> Layer Plies)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Tensile!$F$4</c:f>
              <c:strCache>
                <c:ptCount val="1"/>
                <c:pt idx="0">
                  <c:v>Normal Elastic Strain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9D5CEF09-94C8-4EAB-AD1B-6D3599C0DAA2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39D0-445E-A7DA-256DA0C6B7D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8234A2A0-620B-456C-87D4-C2D65CED92D6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39D0-445E-A7DA-256DA0C6B7D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599FC5B8-5FFA-4B8E-A436-4D8A7C2694EE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9D0-445E-A7DA-256DA0C6B7D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E21BF33-08DE-430B-AFF7-5766B700CD1D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39D0-445E-A7DA-256DA0C6B7D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8B02B2B-3795-4F2E-BAAF-EAF1E2E1F087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9D0-445E-A7DA-256DA0C6B7D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E6E129D-A19B-4F99-8794-040A6654C31D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39D0-445E-A7DA-256DA0C6B7D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A39673CB-FE6F-4B3B-BF2B-A4EF2166C4EC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9D0-445E-A7DA-256DA0C6B7D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Tensile!$A$5:$A$11</c:f>
              <c:strCache>
                <c:ptCount val="7"/>
                <c:pt idx="0">
                  <c:v>X</c:v>
                </c:pt>
                <c:pt idx="1">
                  <c:v>4mm</c:v>
                </c:pt>
                <c:pt idx="2">
                  <c:v>3mm</c:v>
                </c:pt>
                <c:pt idx="3">
                  <c:v>2mm</c:v>
                </c:pt>
                <c:pt idx="4">
                  <c:v>1mm</c:v>
                </c:pt>
                <c:pt idx="5">
                  <c:v>0.5mm</c:v>
                </c:pt>
                <c:pt idx="6">
                  <c:v>0.25mm</c:v>
                </c:pt>
              </c:strCache>
            </c:strRef>
          </c:cat>
          <c:val>
            <c:numRef>
              <c:f>Tensile!$I$14:$I$20</c:f>
              <c:numCache>
                <c:formatCode>General</c:formatCode>
                <c:ptCount val="7"/>
                <c:pt idx="0">
                  <c:v>0</c:v>
                </c:pt>
                <c:pt idx="1">
                  <c:v>1.6216999999999999E-2</c:v>
                </c:pt>
                <c:pt idx="2">
                  <c:v>3.2079999999999997E-2</c:v>
                </c:pt>
                <c:pt idx="3">
                  <c:v>1.7961999999999999E-2</c:v>
                </c:pt>
                <c:pt idx="4">
                  <c:v>1.7468000000000001E-2</c:v>
                </c:pt>
                <c:pt idx="5">
                  <c:v>1.7521999999999999E-2</c:v>
                </c:pt>
                <c:pt idx="6">
                  <c:v>1.7707000000000001E-2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Tensile!$AD$14:$AD$20</c15:f>
                <c15:dlblRangeCache>
                  <c:ptCount val="7"/>
                  <c:pt idx="2">
                    <c:v>73.6%</c:v>
                  </c:pt>
                  <c:pt idx="3">
                    <c:v>-61.3%</c:v>
                  </c:pt>
                  <c:pt idx="4">
                    <c:v>-2.8%</c:v>
                  </c:pt>
                  <c:pt idx="5">
                    <c:v>0.3%</c:v>
                  </c:pt>
                  <c:pt idx="6">
                    <c:v>1.1%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B72D-490A-ACBD-CEC5E467C1C2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5669519"/>
        <c:axId val="1745676239"/>
      </c:lineChart>
      <c:catAx>
        <c:axId val="1745669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Element Size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76239"/>
        <c:crosses val="autoZero"/>
        <c:auto val="1"/>
        <c:lblAlgn val="ctr"/>
        <c:lblOffset val="100"/>
        <c:noMultiLvlLbl val="0"/>
      </c:catAx>
      <c:valAx>
        <c:axId val="1745676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Lateral</a:t>
                </a:r>
                <a:r>
                  <a:rPr lang="en-ZA" baseline="0"/>
                  <a:t> Deformation</a:t>
                </a:r>
                <a:r>
                  <a:rPr lang="en-ZA"/>
                  <a:t> (mm)</a:t>
                </a:r>
              </a:p>
            </c:rich>
          </c:tx>
          <c:layout>
            <c:manualLayout>
              <c:xMode val="edge"/>
              <c:yMode val="edge"/>
              <c:x val="2.9218414318955572E-2"/>
              <c:y val="0.15056250000000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69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Lateral Deformation (8</a:t>
            </a:r>
            <a:r>
              <a:rPr lang="en-US" baseline="0"/>
              <a:t> Layer Plies)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Tensile!$F$4</c:f>
              <c:strCache>
                <c:ptCount val="1"/>
                <c:pt idx="0">
                  <c:v>Normal Elastic Strain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88DFE42E-151B-48DC-A909-402FDF7BB4F1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2EE9-4311-9354-AE9A64E1E7E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CCF1390-2853-48DE-AD33-8D967344A07E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2EE9-4311-9354-AE9A64E1E7E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45CA8170-0798-449E-BB5D-2B084F2612BB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2EE9-4311-9354-AE9A64E1E7E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FF57179-7399-4BDD-B7A4-85A7576BDD00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2EE9-4311-9354-AE9A64E1E7E0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8B9DAD85-D66A-4F82-9808-896C74F8286D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2EE9-4311-9354-AE9A64E1E7E0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5AD6C9DC-111E-4FA1-A00C-72FCB34CBEF9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2EE9-4311-9354-AE9A64E1E7E0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DF263AE-4118-443F-A241-ECAC58E1E4AA}" type="CELLRANGE">
                      <a:rPr lang="en-US"/>
                      <a:pPr/>
                      <a:t>[CELLRANGE]</a:t>
                    </a:fld>
                    <a:endParaRPr lang="en-ZA"/>
                  </a:p>
                </c:rich>
              </c:tx>
              <c:dLblPos val="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2EE9-4311-9354-AE9A64E1E7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Tensile!$A$5:$A$11</c:f>
              <c:strCache>
                <c:ptCount val="7"/>
                <c:pt idx="0">
                  <c:v>X</c:v>
                </c:pt>
                <c:pt idx="1">
                  <c:v>4mm</c:v>
                </c:pt>
                <c:pt idx="2">
                  <c:v>3mm</c:v>
                </c:pt>
                <c:pt idx="3">
                  <c:v>2mm</c:v>
                </c:pt>
                <c:pt idx="4">
                  <c:v>1mm</c:v>
                </c:pt>
                <c:pt idx="5">
                  <c:v>0.5mm</c:v>
                </c:pt>
                <c:pt idx="6">
                  <c:v>0.25mm</c:v>
                </c:pt>
              </c:strCache>
            </c:strRef>
          </c:cat>
          <c:val>
            <c:numRef>
              <c:f>Tensile!$I$23:$I$29</c:f>
              <c:numCache>
                <c:formatCode>General</c:formatCode>
                <c:ptCount val="7"/>
                <c:pt idx="0">
                  <c:v>0</c:v>
                </c:pt>
                <c:pt idx="1">
                  <c:v>1.2456E-2</c:v>
                </c:pt>
                <c:pt idx="2">
                  <c:v>2.3947E-2</c:v>
                </c:pt>
                <c:pt idx="3">
                  <c:v>1.3653999999999999E-2</c:v>
                </c:pt>
                <c:pt idx="4">
                  <c:v>1.3327E-2</c:v>
                </c:pt>
                <c:pt idx="5">
                  <c:v>1.2336400000000001E-2</c:v>
                </c:pt>
                <c:pt idx="6">
                  <c:v>1.3499000000000001E-2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datalabelsRange>
                <c15:f>Tensile!$AD$23:$AD$29</c15:f>
                <c15:dlblRangeCache>
                  <c:ptCount val="7"/>
                  <c:pt idx="2">
                    <c:v>70.1%</c:v>
                  </c:pt>
                  <c:pt idx="3">
                    <c:v>-59.2%</c:v>
                  </c:pt>
                  <c:pt idx="4">
                    <c:v>-2.4%</c:v>
                  </c:pt>
                  <c:pt idx="5">
                    <c:v>-7.4%</c:v>
                  </c:pt>
                  <c:pt idx="6">
                    <c:v>9.4%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3794-4A41-B81F-3BD2DB13E92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1745669519"/>
        <c:axId val="1745676239"/>
      </c:lineChart>
      <c:catAx>
        <c:axId val="17456695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Element Size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76239"/>
        <c:crosses val="autoZero"/>
        <c:auto val="1"/>
        <c:lblAlgn val="ctr"/>
        <c:lblOffset val="100"/>
        <c:noMultiLvlLbl val="0"/>
      </c:catAx>
      <c:valAx>
        <c:axId val="17456762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Lateral</a:t>
                </a:r>
                <a:r>
                  <a:rPr lang="en-ZA" baseline="0"/>
                  <a:t> Deformation</a:t>
                </a:r>
                <a:r>
                  <a:rPr lang="en-ZA"/>
                  <a:t> (mm)</a:t>
                </a:r>
              </a:p>
            </c:rich>
          </c:tx>
          <c:layout>
            <c:manualLayout>
              <c:xMode val="edge"/>
              <c:yMode val="edge"/>
              <c:x val="3.2140255750851131E-2"/>
              <c:y val="0.1568125000000000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45669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12" Type="http://schemas.openxmlformats.org/officeDocument/2006/relationships/chart" Target="../charts/chart21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11" Type="http://schemas.openxmlformats.org/officeDocument/2006/relationships/chart" Target="../charts/chart20.xml"/><Relationship Id="rId5" Type="http://schemas.openxmlformats.org/officeDocument/2006/relationships/chart" Target="../charts/chart14.xml"/><Relationship Id="rId10" Type="http://schemas.openxmlformats.org/officeDocument/2006/relationships/chart" Target="../charts/chart19.xml"/><Relationship Id="rId4" Type="http://schemas.openxmlformats.org/officeDocument/2006/relationships/chart" Target="../charts/chart13.xml"/><Relationship Id="rId9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41276</xdr:colOff>
      <xdr:row>41</xdr:row>
      <xdr:rowOff>33868</xdr:rowOff>
    </xdr:from>
    <xdr:to>
      <xdr:col>3</xdr:col>
      <xdr:colOff>1266826</xdr:colOff>
      <xdr:row>52</xdr:row>
      <xdr:rowOff>22225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4626830-FDB7-C527-970F-7E37915CEEF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31751</xdr:colOff>
      <xdr:row>30</xdr:row>
      <xdr:rowOff>79375</xdr:rowOff>
    </xdr:from>
    <xdr:to>
      <xdr:col>3</xdr:col>
      <xdr:colOff>1254125</xdr:colOff>
      <xdr:row>40</xdr:row>
      <xdr:rowOff>127000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BB2C3C8D-B4DA-4C2A-9168-F8BB57A7EC0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31752</xdr:colOff>
      <xdr:row>52</xdr:row>
      <xdr:rowOff>127000</xdr:rowOff>
    </xdr:from>
    <xdr:to>
      <xdr:col>3</xdr:col>
      <xdr:colOff>1254126</xdr:colOff>
      <xdr:row>63</xdr:row>
      <xdr:rowOff>69850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D4FACD5-B623-4455-ADCA-2F48CD09AA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47625</xdr:colOff>
      <xdr:row>30</xdr:row>
      <xdr:rowOff>63500</xdr:rowOff>
    </xdr:from>
    <xdr:to>
      <xdr:col>6</xdr:col>
      <xdr:colOff>1346199</xdr:colOff>
      <xdr:row>40</xdr:row>
      <xdr:rowOff>111125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D7B07F1C-1D77-4E09-BE42-0DBB4E4149C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4</xdr:col>
      <xdr:colOff>73025</xdr:colOff>
      <xdr:row>41</xdr:row>
      <xdr:rowOff>63500</xdr:rowOff>
    </xdr:from>
    <xdr:to>
      <xdr:col>6</xdr:col>
      <xdr:colOff>1371599</xdr:colOff>
      <xdr:row>52</xdr:row>
      <xdr:rowOff>38100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55C4C5A-CFC0-47E8-B195-140988EBC6C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73025</xdr:colOff>
      <xdr:row>52</xdr:row>
      <xdr:rowOff>133350</xdr:rowOff>
    </xdr:from>
    <xdr:to>
      <xdr:col>6</xdr:col>
      <xdr:colOff>1371599</xdr:colOff>
      <xdr:row>63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855091F3-53EE-4675-A2B1-F549F1AE84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1431925</xdr:colOff>
      <xdr:row>30</xdr:row>
      <xdr:rowOff>69850</xdr:rowOff>
    </xdr:from>
    <xdr:to>
      <xdr:col>9</xdr:col>
      <xdr:colOff>393699</xdr:colOff>
      <xdr:row>40</xdr:row>
      <xdr:rowOff>117475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7C60A7FC-2992-4A21-90A2-E87BBCEEFA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1444625</xdr:colOff>
      <xdr:row>41</xdr:row>
      <xdr:rowOff>101600</xdr:rowOff>
    </xdr:from>
    <xdr:to>
      <xdr:col>9</xdr:col>
      <xdr:colOff>406399</xdr:colOff>
      <xdr:row>52</xdr:row>
      <xdr:rowOff>38100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F2795240-1FEC-4B4B-A7ED-71B0B25385D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6</xdr:col>
      <xdr:colOff>1457325</xdr:colOff>
      <xdr:row>52</xdr:row>
      <xdr:rowOff>152400</xdr:rowOff>
    </xdr:from>
    <xdr:to>
      <xdr:col>9</xdr:col>
      <xdr:colOff>419099</xdr:colOff>
      <xdr:row>63</xdr:row>
      <xdr:rowOff>88900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F3A83118-CF23-4835-AA24-9843F53B41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20108</xdr:colOff>
      <xdr:row>29</xdr:row>
      <xdr:rowOff>126999</xdr:rowOff>
    </xdr:from>
    <xdr:to>
      <xdr:col>3</xdr:col>
      <xdr:colOff>782108</xdr:colOff>
      <xdr:row>39</xdr:row>
      <xdr:rowOff>147410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099BDAD-23ED-4567-8ED9-8CD61A07FD8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953557</xdr:colOff>
      <xdr:row>29</xdr:row>
      <xdr:rowOff>84666</xdr:rowOff>
    </xdr:from>
    <xdr:to>
      <xdr:col>6</xdr:col>
      <xdr:colOff>542469</xdr:colOff>
      <xdr:row>39</xdr:row>
      <xdr:rowOff>105077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7C2361C-8AD5-44FD-BAF9-33B89F7731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690563</xdr:colOff>
      <xdr:row>29</xdr:row>
      <xdr:rowOff>105833</xdr:rowOff>
    </xdr:from>
    <xdr:to>
      <xdr:col>9</xdr:col>
      <xdr:colOff>357790</xdr:colOff>
      <xdr:row>39</xdr:row>
      <xdr:rowOff>126244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223E0EE-94F4-453C-AF19-F384912BDB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449792</xdr:colOff>
      <xdr:row>29</xdr:row>
      <xdr:rowOff>74082</xdr:rowOff>
    </xdr:from>
    <xdr:to>
      <xdr:col>16</xdr:col>
      <xdr:colOff>525537</xdr:colOff>
      <xdr:row>39</xdr:row>
      <xdr:rowOff>94493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BA7D735-2782-4027-AC3B-63060B4E20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5292</xdr:colOff>
      <xdr:row>40</xdr:row>
      <xdr:rowOff>84667</xdr:rowOff>
    </xdr:from>
    <xdr:to>
      <xdr:col>3</xdr:col>
      <xdr:colOff>767292</xdr:colOff>
      <xdr:row>50</xdr:row>
      <xdr:rowOff>94495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33905DFE-D26C-43FC-A290-68257C06EFB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938741</xdr:colOff>
      <xdr:row>40</xdr:row>
      <xdr:rowOff>42334</xdr:rowOff>
    </xdr:from>
    <xdr:to>
      <xdr:col>6</xdr:col>
      <xdr:colOff>527653</xdr:colOff>
      <xdr:row>50</xdr:row>
      <xdr:rowOff>52162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A50B05A7-4274-4304-AF70-B38FEA344D3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6</xdr:col>
      <xdr:colOff>675747</xdr:colOff>
      <xdr:row>40</xdr:row>
      <xdr:rowOff>63501</xdr:rowOff>
    </xdr:from>
    <xdr:to>
      <xdr:col>9</xdr:col>
      <xdr:colOff>349324</xdr:colOff>
      <xdr:row>50</xdr:row>
      <xdr:rowOff>73329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B685DB1A-134E-4AEE-A930-9A6F660B634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434976</xdr:colOff>
      <xdr:row>40</xdr:row>
      <xdr:rowOff>21167</xdr:rowOff>
    </xdr:from>
    <xdr:to>
      <xdr:col>16</xdr:col>
      <xdr:colOff>510721</xdr:colOff>
      <xdr:row>50</xdr:row>
      <xdr:rowOff>41578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32CB186E-32F1-4EFE-82AC-5F3B762853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51</xdr:row>
      <xdr:rowOff>5292</xdr:rowOff>
    </xdr:from>
    <xdr:to>
      <xdr:col>3</xdr:col>
      <xdr:colOff>762000</xdr:colOff>
      <xdr:row>61</xdr:row>
      <xdr:rowOff>25703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2A016A4-645A-47D4-B3E7-6706AF4E362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</xdr:col>
      <xdr:colOff>933449</xdr:colOff>
      <xdr:row>50</xdr:row>
      <xdr:rowOff>153459</xdr:rowOff>
    </xdr:from>
    <xdr:to>
      <xdr:col>6</xdr:col>
      <xdr:colOff>522361</xdr:colOff>
      <xdr:row>60</xdr:row>
      <xdr:rowOff>173870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1EF47FFE-555C-48B4-8D94-CBF841692B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670455</xdr:colOff>
      <xdr:row>50</xdr:row>
      <xdr:rowOff>174626</xdr:rowOff>
    </xdr:from>
    <xdr:to>
      <xdr:col>9</xdr:col>
      <xdr:colOff>344032</xdr:colOff>
      <xdr:row>61</xdr:row>
      <xdr:rowOff>4537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2840C3EF-9C86-4DED-98DD-05E24514E22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429684</xdr:colOff>
      <xdr:row>50</xdr:row>
      <xdr:rowOff>142875</xdr:rowOff>
    </xdr:from>
    <xdr:to>
      <xdr:col>16</xdr:col>
      <xdr:colOff>505429</xdr:colOff>
      <xdr:row>60</xdr:row>
      <xdr:rowOff>163286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26B2EDED-AC88-431E-97A8-46F336F484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3D1D57E-6F88-4332-B983-C1AF48B3752E}" name="Table1" displayName="Table1" ref="A4:I11" totalsRowShown="0" headerRowDxfId="116" dataDxfId="115">
  <autoFilter ref="A4:I11" xr:uid="{93D1D57E-6F88-4332-B983-C1AF48B3752E}"/>
  <tableColumns count="9">
    <tableColumn id="1" xr3:uid="{0053CC7A-44FD-401E-8B4D-A265D26F6BB7}" name="Element Size" dataDxfId="114"/>
    <tableColumn id="2" xr3:uid="{DEE570D8-E769-4E00-AE3F-36D3A8F8BB43}" name="Elements" dataDxfId="113"/>
    <tableColumn id="3" xr3:uid="{958CDEA0-FF50-495D-8917-34025C91E08F}" name="Nodes" dataDxfId="112"/>
    <tableColumn id="4" xr3:uid="{C3A0E0C7-0306-4B61-84AA-C5A7CC54E201}" name="Corner Nodes" dataDxfId="111"/>
    <tableColumn id="5" xr3:uid="{EFC7588A-1F62-46F7-97A6-C46D97EF5D72}" name="Normal Stress" dataDxfId="110"/>
    <tableColumn id="6" xr3:uid="{73B449D4-B24F-4ECB-AB0B-039E486F3E77}" name="Normal Elastic Strain" dataDxfId="109"/>
    <tableColumn id="7" xr3:uid="{10689AC9-ACBC-4F70-863E-9BCD2CABE983}" name="Equivalent Vons Mises" dataDxfId="108"/>
    <tableColumn id="8" xr3:uid="{1B8C6807-178A-4748-9985-E57E339A53B6}" name="Equilavent Elastic Strain" dataDxfId="107"/>
    <tableColumn id="9" xr3:uid="{2955D4EA-ACF6-42D6-91E9-7186175B98B1}" name="Lateral Deformation (mm)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59099A9-735E-4C0A-A6F6-105CCA8FE627}" name="Table7" displayName="Table7" ref="X3:AI8" totalsRowShown="0" headerRowDxfId="41" dataDxfId="40">
  <autoFilter ref="X3:AI8" xr:uid="{E59099A9-735E-4C0A-A6F6-105CCA8FE627}"/>
  <tableColumns count="12">
    <tableColumn id="1" xr3:uid="{E7B353F2-0A7C-4E41-97F7-50F2F63F8F19}" name="Element Size" dataDxfId="39"/>
    <tableColumn id="2" xr3:uid="{D7FE43E5-7967-45B3-A64C-76605FE66F0C}" name="Elements" dataDxfId="38"/>
    <tableColumn id="3" xr3:uid="{AB5F777E-0F6D-494B-8E6E-033E2413AFA2}" name="Nodes" dataDxfId="37"/>
    <tableColumn id="4" xr3:uid="{9CFDE3F3-0864-4872-ABC8-E90DEF3796DB}" name="Corner Nodes" dataDxfId="36"/>
    <tableColumn id="5" xr3:uid="{A05A3DE7-E65C-4A83-846C-8285AC4E638C}" name="Normal Stress" dataDxfId="35"/>
    <tableColumn id="6" xr3:uid="{9DE2DAD8-22C1-4E43-A1E1-0DDDEEB1A3DB}" name="Normal %" dataDxfId="34" dataCellStyle="Percent">
      <calculatedColumnFormula>(Table7[[#This Row],[Normal Stress]]-AB3)/AB3</calculatedColumnFormula>
    </tableColumn>
    <tableColumn id="7" xr3:uid="{D04C0175-17B1-46F8-B298-766B7058CACD}" name="Equivalent Strain" dataDxfId="33"/>
    <tableColumn id="8" xr3:uid="{1023622B-70B5-4E88-93F0-A635F8EB9E25}" name="Equivalent Strain %" dataDxfId="32" dataCellStyle="Percent">
      <calculatedColumnFormula>(Table7[[#This Row],[Equivalent Strain]]-AD3)/AD3</calculatedColumnFormula>
    </tableColumn>
    <tableColumn id="9" xr3:uid="{78C750F7-880D-4DB6-8A81-BE5E8E3B6D2C}" name="Equivalent Vons Mises" dataDxfId="31"/>
    <tableColumn id="10" xr3:uid="{0BB56CDA-1EE6-4AA7-9AEF-D54549DA3A22}" name="Equivalent Von %" dataDxfId="30" dataCellStyle="Percent">
      <calculatedColumnFormula>(Table7[[#This Row],[Equivalent Vons Mises]]-AF3)/AF3</calculatedColumnFormula>
    </tableColumn>
    <tableColumn id="11" xr3:uid="{B1595C9A-30A1-42B3-B062-10512CD83E05}" name="Maximum Shear" dataDxfId="29"/>
    <tableColumn id="12" xr3:uid="{C5C455E4-A46C-4869-8660-2BDA56534CC3}" name="Shear %" dataDxfId="28" dataCellStyle="Percent">
      <calculatedColumnFormula>(Table7[[#This Row],[Maximum Shear]]-AH3)/AH3</calculatedColumnFormula>
    </tableColumn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477BBAA6-32B2-423D-8FBD-C3B229B86668}" name="Table8" displayName="Table8" ref="X12:AI17" totalsRowShown="0" headerRowDxfId="27" dataDxfId="26">
  <autoFilter ref="X12:AI17" xr:uid="{477BBAA6-32B2-423D-8FBD-C3B229B86668}"/>
  <tableColumns count="12">
    <tableColumn id="1" xr3:uid="{B8AB04FE-3004-476D-BB4A-1689389AFCDF}" name="Element Size" dataDxfId="25"/>
    <tableColumn id="2" xr3:uid="{D122A241-E6C6-40AC-AC08-A01349A8A201}" name="Elements" dataDxfId="24"/>
    <tableColumn id="3" xr3:uid="{503C6C2C-4C1D-4DA1-8DA3-6CA6F89FE258}" name="Nodes" dataDxfId="23"/>
    <tableColumn id="4" xr3:uid="{C0089AF8-D49E-4715-858E-D3438AD0D877}" name="Corner Nodes" dataDxfId="22"/>
    <tableColumn id="5" xr3:uid="{69E840D9-F1D1-4FE0-8F0B-961526D62F79}" name="Normal Stress" dataDxfId="21"/>
    <tableColumn id="6" xr3:uid="{4446866A-C810-4B9A-86F6-BE6AB85F3430}" name="Normal %" dataDxfId="20" dataCellStyle="Percent">
      <calculatedColumnFormula>(Table8[[#This Row],[Normal Stress]]-AB12)/AB12</calculatedColumnFormula>
    </tableColumn>
    <tableColumn id="7" xr3:uid="{AC5F1745-9B44-445A-8D0A-9705BCEC06C8}" name="Equivalent Strain" dataDxfId="19"/>
    <tableColumn id="8" xr3:uid="{1B66ACD5-C9A1-4D51-AE02-189CCB2DE02A}" name="Equivalent Strain %" dataDxfId="18" dataCellStyle="Percent">
      <calculatedColumnFormula>(Table8[[#This Row],[Equivalent Strain]]-AD12)/AD12</calculatedColumnFormula>
    </tableColumn>
    <tableColumn id="9" xr3:uid="{B1B3E008-FD35-4E1A-AE96-4264EB70B70E}" name="Equivalent Vons Mises" dataDxfId="17"/>
    <tableColumn id="10" xr3:uid="{0AFC7020-1BC8-4F90-8530-952066C34767}" name="Equivalent Von %" dataDxfId="16" dataCellStyle="Percent">
      <calculatedColumnFormula>(Table8[[#This Row],[Equivalent Vons Mises]]-AF12)/AF12</calculatedColumnFormula>
    </tableColumn>
    <tableColumn id="11" xr3:uid="{CB427E77-D687-489F-81B6-1E91CE7D1A48}" name="Maximum Shear" dataDxfId="15"/>
    <tableColumn id="12" xr3:uid="{70BAD015-5F16-4A2E-822C-D8532AE5F03E}" name="Shear %" dataDxfId="14" dataCellStyle="Percent">
      <calculatedColumnFormula>(Table8[[#This Row],[Maximum Shear]]-AH12)/AH12</calculatedColumnFormula>
    </tableColumn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340472D0-5D82-4B96-B832-2B66D90F3C88}" name="Table9" displayName="Table9" ref="X21:AI26" totalsRowShown="0" headerRowDxfId="13" dataDxfId="12">
  <autoFilter ref="X21:AI26" xr:uid="{340472D0-5D82-4B96-B832-2B66D90F3C88}"/>
  <tableColumns count="12">
    <tableColumn id="1" xr3:uid="{6E404B9D-79B2-4F6D-A424-6C94A618F227}" name="Element Size" dataDxfId="11"/>
    <tableColumn id="2" xr3:uid="{7B85FDF6-9F81-4E4F-AA87-DBD64CA577F4}" name="Elements" dataDxfId="10"/>
    <tableColumn id="3" xr3:uid="{FF9A9255-A716-4249-96C3-1C9D6F31F511}" name="Nodes" dataDxfId="9"/>
    <tableColumn id="4" xr3:uid="{367A1795-053E-4F06-92F6-2DA7750C3CEA}" name="Corner Nodes" dataDxfId="8"/>
    <tableColumn id="5" xr3:uid="{2466BD47-6E3F-4263-A34D-2B3E07D3BF04}" name="Normal Stress" dataDxfId="7"/>
    <tableColumn id="6" xr3:uid="{646CC884-18CC-4DF8-8D53-104CC356582B}" name="Normal %" dataDxfId="6" dataCellStyle="Percent">
      <calculatedColumnFormula>(Table9[[#This Row],[Normal Stress]]-AB21)/AB21</calculatedColumnFormula>
    </tableColumn>
    <tableColumn id="7" xr3:uid="{F046A06C-D05E-4855-ABBC-5A692E2D4FE5}" name="Equivalent Strain" dataDxfId="5"/>
    <tableColumn id="8" xr3:uid="{939223AC-6A13-4CF9-988B-DB8669852D2E}" name="Equivalent Strain %" dataDxfId="4" dataCellStyle="Percent">
      <calculatedColumnFormula>(Table9[[#This Row],[Equivalent Strain]]-AD21)/AD21</calculatedColumnFormula>
    </tableColumn>
    <tableColumn id="9" xr3:uid="{C47565F7-9535-4AB7-8A57-7CDCAA6D14EA}" name="Equivalent Vons Mises" dataDxfId="3"/>
    <tableColumn id="10" xr3:uid="{5020EA2C-19B4-4F0A-8684-DE3551574B60}" name="Equivalent Von %" dataDxfId="2" dataCellStyle="Percent">
      <calculatedColumnFormula>(Table9[[#This Row],[Equivalent Vons Mises]]-AF21)/AF21</calculatedColumnFormula>
    </tableColumn>
    <tableColumn id="11" xr3:uid="{F4C4B597-BAB8-477A-83AB-D205B2621A7D}" name="Maximum Shear" dataDxfId="1"/>
    <tableColumn id="12" xr3:uid="{DD30FB54-9161-4938-B7D5-5E8E3EDC4200}" name="Shear %" dataDxfId="0" dataCellStyle="Percent">
      <calculatedColumnFormula>(Table9[[#This Row],[Maximum Shear]]-AH21)/AH21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7385E3EA-57E3-437C-9549-29283162A4FC}" name="Table2" displayName="Table2" ref="A13:I20" totalsRowShown="0" headerRowDxfId="106" dataDxfId="105">
  <autoFilter ref="A13:I20" xr:uid="{7385E3EA-57E3-437C-9549-29283162A4FC}"/>
  <tableColumns count="9">
    <tableColumn id="1" xr3:uid="{703F2BD1-4153-42BD-B617-CF0B539DC624}" name="Element Size" dataDxfId="104"/>
    <tableColumn id="2" xr3:uid="{26B7FBFD-C92A-476F-A28D-0077E1E31A44}" name="Elements" dataDxfId="103"/>
    <tableColumn id="3" xr3:uid="{2B882BC5-5DC8-4595-9598-CB9872D207E2}" name="Nodes" dataDxfId="102"/>
    <tableColumn id="4" xr3:uid="{885A1521-ED82-4AF1-95F7-3AD48F990405}" name="Corner Nodes" dataDxfId="101"/>
    <tableColumn id="5" xr3:uid="{A1BBC5FA-9D52-4230-8B96-D9E37D16F896}" name="Normal Stress" dataDxfId="100"/>
    <tableColumn id="6" xr3:uid="{E789B024-4861-40D4-8792-C8960CE2E020}" name="Normal Elastic Strain" dataDxfId="99"/>
    <tableColumn id="7" xr3:uid="{93EAED88-FC0F-4162-8097-AE8446F9335D}" name="Equivalent Vons Mises" dataDxfId="98"/>
    <tableColumn id="8" xr3:uid="{168D5373-7178-4A8A-8A7D-708D11677B1C}" name="Equilavent Elastic Strain" dataDxfId="97"/>
    <tableColumn id="9" xr3:uid="{7E03DC04-7B1B-40FC-9964-A2046C427252}" name="Lateral Deformation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66E911E4-EBC2-47A6-B5D0-701030988660}" name="Table3" displayName="Table3" ref="A22:I29" totalsRowShown="0" headerRowDxfId="96" dataDxfId="95">
  <autoFilter ref="A22:I29" xr:uid="{66E911E4-EBC2-47A6-B5D0-701030988660}"/>
  <tableColumns count="9">
    <tableColumn id="1" xr3:uid="{B1A2C5F2-79AF-4963-B20B-E11888823DE1}" name="Element Size" dataDxfId="94"/>
    <tableColumn id="2" xr3:uid="{CC255069-8307-41D6-BF54-9D554F69FD35}" name="Elements" dataDxfId="93"/>
    <tableColumn id="3" xr3:uid="{E08E1327-4B46-4121-9EE5-95A635156941}" name="Nodes" dataDxfId="92"/>
    <tableColumn id="4" xr3:uid="{DE0EF5A6-BF8A-4559-A428-D4641454B0ED}" name="Corner Nodes" dataDxfId="91"/>
    <tableColumn id="5" xr3:uid="{264027E5-2EF1-4D49-99E3-DC23DAE6D1D4}" name="Normal Stress" dataDxfId="90"/>
    <tableColumn id="6" xr3:uid="{32C11F01-AC7F-4F67-9685-83352D6A56E7}" name="Normal Elastic Strain" dataDxfId="89"/>
    <tableColumn id="7" xr3:uid="{DF6F7AF9-5103-4975-9959-33E84FDA5DAA}" name="Equivalent Vons Mises" dataDxfId="88"/>
    <tableColumn id="8" xr3:uid="{01166499-3DB1-4862-84E5-3E9B19330146}" name="Equilavent Elastic Strain" dataDxfId="87"/>
    <tableColumn id="9" xr3:uid="{12405311-AAAF-46BB-9F03-F0CC75585DE6}" name="Lateral Deformation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5F9CB97-6391-49CB-9696-D17A8C413359}" name="Table10" displayName="Table10" ref="Q22:AD29" totalsRowShown="0">
  <autoFilter ref="Q22:AD29" xr:uid="{95F9CB97-6391-49CB-9696-D17A8C413359}"/>
  <tableColumns count="14">
    <tableColumn id="1" xr3:uid="{F702C12C-5591-47E9-964B-CA488376B7A9}" name="Element Size"/>
    <tableColumn id="2" xr3:uid="{66ABB26B-E883-403B-93BD-53E4F200C4F7}" name="Elements"/>
    <tableColumn id="3" xr3:uid="{7693B563-0329-4FF0-ABF7-E70EEB6DCC54}" name="Nodes"/>
    <tableColumn id="4" xr3:uid="{C70B9F2C-4C8E-421E-8682-F7AABC3481B4}" name="Corner Nodes"/>
    <tableColumn id="5" xr3:uid="{E6F37AAE-3200-4F77-8EAE-CEC53B4FD1CF}" name="Normal Stress"/>
    <tableColumn id="6" xr3:uid="{65E1CECD-0A65-4185-8E37-361DF49E32A7}" name="Stress %" dataDxfId="86" dataCellStyle="Percent">
      <calculatedColumnFormula>(Table10[[#This Row],[Normal Stress]]-U22)/U22</calculatedColumnFormula>
    </tableColumn>
    <tableColumn id="7" xr3:uid="{66993E9B-56E4-4188-AEDD-00C20CD80C61}" name="Normal Elastic Strain"/>
    <tableColumn id="8" xr3:uid="{D1A9F43D-5744-45CF-BF20-805D24D8DB7F}" name="Elastic Strain %" dataDxfId="85" dataCellStyle="Percent">
      <calculatedColumnFormula>(Table10[[#This Row],[Normal Elastic Strain]]-W22)/W22</calculatedColumnFormula>
    </tableColumn>
    <tableColumn id="9" xr3:uid="{4C96D4E0-9435-4496-9117-A67C959E000C}" name="Equivalent Vons Mises"/>
    <tableColumn id="10" xr3:uid="{58D23901-A330-4D9C-9DBC-066B2C8B333D}" name="Von %" dataDxfId="84" dataCellStyle="Percent">
      <calculatedColumnFormula>(Table10[[#This Row],[Equivalent Vons Mises]]-Y22)/Y22</calculatedColumnFormula>
    </tableColumn>
    <tableColumn id="11" xr3:uid="{6B36D7A1-E741-4E26-B815-7B389E46EB20}" name="Equilavent Elastic Strain"/>
    <tableColumn id="12" xr3:uid="{E8ECD489-C719-4F21-ADB8-7823B0718C5A}" name="Von Strain %" dataDxfId="83" dataCellStyle="Percent">
      <calculatedColumnFormula>(Table10[[#This Row],[Equilavent Elastic Strain]]-AA22)/AA22</calculatedColumnFormula>
    </tableColumn>
    <tableColumn id="13" xr3:uid="{FBDB6B41-DAAA-4EC7-94DD-AA7F87FC9A07}" name="Lateral Deformation"/>
    <tableColumn id="14" xr3:uid="{D22E388A-B7EB-4413-985A-D127E62DE954}" name="Lateral Deformation %" dataDxfId="82" dataCellStyle="Percent">
      <calculatedColumnFormula>(Table10[[#This Row],[Lateral Deformation]]-AC22)/AC22</calculatedColumnFormula>
    </tableColumn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DECA9458-069C-49EC-8432-98CBAACA0643}" name="Table12" displayName="Table12" ref="Q13:AD20" totalsRowShown="0">
  <autoFilter ref="Q13:AD20" xr:uid="{DECA9458-069C-49EC-8432-98CBAACA0643}"/>
  <tableColumns count="14">
    <tableColumn id="1" xr3:uid="{FD4F1A46-ACA0-484E-A323-A1F08CD73CBB}" name="Element Size"/>
    <tableColumn id="2" xr3:uid="{E8E6BCBB-D6B4-4890-85BA-271F25C4E6DA}" name="Elements"/>
    <tableColumn id="3" xr3:uid="{D92E8984-1238-4C3C-8357-CBEF1CAEDE69}" name="Nodes"/>
    <tableColumn id="4" xr3:uid="{4F30712C-A5B7-4846-8939-6D438CF6EE54}" name="Corner Nodes"/>
    <tableColumn id="5" xr3:uid="{F673B103-54CD-44B9-A4A2-5908595E9F79}" name="Normal Stress"/>
    <tableColumn id="6" xr3:uid="{105FED8C-00AA-4DD8-9839-29B2FD907DE8}" name="Stress %" dataDxfId="81" dataCellStyle="Percent">
      <calculatedColumnFormula>(Table12[[#This Row],[Normal Stress]]-U13)/U13</calculatedColumnFormula>
    </tableColumn>
    <tableColumn id="7" xr3:uid="{167F4162-EBBF-4725-AC68-EBA2E7B0A727}" name="Normal Elastic Strain"/>
    <tableColumn id="8" xr3:uid="{78CB6347-AD97-48A0-BC50-1BB5547E9A6B}" name="Elastic Strain %" dataDxfId="80" dataCellStyle="Percent">
      <calculatedColumnFormula>(Table12[[#This Row],[Normal Elastic Strain]]-W13)/W13</calculatedColumnFormula>
    </tableColumn>
    <tableColumn id="9" xr3:uid="{AF16D768-9045-4E28-9DAC-C9F361F7D2B4}" name="Equivalent Vons Mises"/>
    <tableColumn id="10" xr3:uid="{FF64DEA2-8E68-4581-BA64-62797BF7F4F9}" name="Von %" dataDxfId="79" dataCellStyle="Percent">
      <calculatedColumnFormula>(Table12[[#This Row],[Equivalent Vons Mises]]-Y13)/Y13</calculatedColumnFormula>
    </tableColumn>
    <tableColumn id="11" xr3:uid="{2357C77C-C907-44D9-8AB5-08E28AA333C8}" name="Equilavent Elastic Strain"/>
    <tableColumn id="12" xr3:uid="{43EB9058-E61B-4E7E-87BA-5C7430D571CB}" name="Von Strain %" dataDxfId="78" dataCellStyle="Percent">
      <calculatedColumnFormula>(Table12[[#This Row],[Equilavent Elastic Strain]]-AA13)/AA13</calculatedColumnFormula>
    </tableColumn>
    <tableColumn id="13" xr3:uid="{C6C3783C-9E69-4B3A-85B5-2801F36A3811}" name="Lateral Deformation"/>
    <tableColumn id="14" xr3:uid="{580125EF-4986-4652-84C9-95B4F051FFAA}" name="Lateral Deformation %" dataDxfId="77" dataCellStyle="Percent">
      <calculatedColumnFormula>(Table12[[#This Row],[Lateral Deformation]]-AC13)/AC13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DD87B671-DA05-42BB-BE3F-90DFB332FFC6}" name="Table13" displayName="Table13" ref="Q4:AD11" totalsRowShown="0">
  <autoFilter ref="Q4:AD11" xr:uid="{DD87B671-DA05-42BB-BE3F-90DFB332FFC6}"/>
  <tableColumns count="14">
    <tableColumn id="1" xr3:uid="{9889A183-2C9C-4BC8-BE4B-843BB610718E}" name="Element Size"/>
    <tableColumn id="2" xr3:uid="{830BEC7E-D1F0-4BD2-8A69-753316F9AC31}" name="Elements"/>
    <tableColumn id="3" xr3:uid="{8E064A3B-B234-4C63-8252-A0680DD21345}" name="Nodes"/>
    <tableColumn id="4" xr3:uid="{4C180F04-3C5D-47B1-B296-C3110D8EFB73}" name="Corner Nodes"/>
    <tableColumn id="5" xr3:uid="{4B26ABF8-A635-43B0-825B-F6A6AA5CE7B4}" name="Normal Stress"/>
    <tableColumn id="6" xr3:uid="{71D650E4-F2C2-4E26-AB91-725463C1704C}" name="Stress %" dataDxfId="76" dataCellStyle="Percent">
      <calculatedColumnFormula>(Table13[[#This Row],[Normal Stress]]-U4)/U4</calculatedColumnFormula>
    </tableColumn>
    <tableColumn id="7" xr3:uid="{55D20653-3DB1-4340-85FF-F1A71B5F2A8A}" name="Normal Elastic Strain"/>
    <tableColumn id="8" xr3:uid="{7D87906B-D318-4AFF-821A-8B2B8021A916}" name="Elastic Strain %" dataDxfId="75" dataCellStyle="Percent">
      <calculatedColumnFormula>(Table13[[#This Row],[Normal Elastic Strain]]-W4)/W4</calculatedColumnFormula>
    </tableColumn>
    <tableColumn id="9" xr3:uid="{E6353D34-DA09-4AFB-9AF6-213E098E6171}" name="Equivalent Vons Mises"/>
    <tableColumn id="10" xr3:uid="{B8B508A9-A2EE-4C38-B6BD-8118AAB07121}" name="Von %" dataDxfId="74" dataCellStyle="Percent">
      <calculatedColumnFormula>(Table13[[#This Row],[Equivalent Vons Mises]]-Y4)/Y4</calculatedColumnFormula>
    </tableColumn>
    <tableColumn id="11" xr3:uid="{41C3FEEA-96ED-480F-AB5F-4CCCE5096E9A}" name="Equilavent Elastic Strain"/>
    <tableColumn id="12" xr3:uid="{376E6494-4CCA-4281-BB48-47BD2AE09375}" name="Von Strain %" dataDxfId="73" dataCellStyle="Percent">
      <calculatedColumnFormula>(Table13[[#This Row],[Equilavent Elastic Strain]]-AA4)/AA4</calculatedColumnFormula>
    </tableColumn>
    <tableColumn id="13" xr3:uid="{2D417457-6067-4C4C-BD80-339FA3F75A6B}" name="Lateral Deformation (mm)"/>
    <tableColumn id="14" xr3:uid="{D9DD2766-C4D6-4D30-8EE6-F86EC6001D17}" name="Lateral Deformation %" dataDxfId="72" dataCellStyle="Percent">
      <calculatedColumnFormula>(Table13[[#This Row],[Lateral Deformation (mm)]]-AC4)/AC4</calculatedColumnFormula>
    </tableColumn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4623E44-B1D8-486E-9433-FF1223940441}" name="Table4" displayName="Table4" ref="A4:H9" totalsRowShown="0" headerRowDxfId="71" dataDxfId="70">
  <autoFilter ref="A4:H9" xr:uid="{74623E44-B1D8-486E-9433-FF1223940441}"/>
  <tableColumns count="8">
    <tableColumn id="1" xr3:uid="{B38A5EEA-6775-44DC-B32D-92923947DAAD}" name="Element Size" dataDxfId="69"/>
    <tableColumn id="2" xr3:uid="{686A9700-1618-47E8-8FC5-33503EEF1770}" name="Elements" dataDxfId="68"/>
    <tableColumn id="3" xr3:uid="{5846D86A-E44F-49A2-AE3D-2B6CA547A722}" name="Nodes" dataDxfId="67"/>
    <tableColumn id="4" xr3:uid="{9579794A-8472-4EF8-830A-0ADFB658CE18}" name="Corner Nodes" dataDxfId="66"/>
    <tableColumn id="5" xr3:uid="{C794FD09-5067-425A-8BC1-C42C87FF90F6}" name="Normal Stress" dataDxfId="65"/>
    <tableColumn id="6" xr3:uid="{6F177FEA-90BA-40C8-A311-4A529CA6E41D}" name="Equivalent Strain" dataDxfId="64"/>
    <tableColumn id="7" xr3:uid="{76C6AE55-8172-464E-B379-8F0B1B274E7A}" name="Equivalent Vons Mises" dataDxfId="63"/>
    <tableColumn id="8" xr3:uid="{37A8B213-5E9D-4F61-91E0-B99C5E8B0696}" name="Maximum Shear" dataDxfId="62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85C02B-8ED7-4455-83BE-3DD337ABCB05}" name="Table5" displayName="Table5" ref="A13:H18" totalsRowShown="0" headerRowDxfId="61" dataDxfId="60">
  <autoFilter ref="A13:H18" xr:uid="{9485C02B-8ED7-4455-83BE-3DD337ABCB05}"/>
  <tableColumns count="8">
    <tableColumn id="1" xr3:uid="{B80D47C3-CF15-4CA3-B93D-E37B93FE3173}" name="Element Size" dataDxfId="59"/>
    <tableColumn id="2" xr3:uid="{95704169-764B-46BB-9BC6-371541DCA165}" name="Elements" dataDxfId="58"/>
    <tableColumn id="3" xr3:uid="{742C0527-E92E-4A94-B4F4-9888C2DB0BAF}" name="Nodes" dataDxfId="57"/>
    <tableColumn id="4" xr3:uid="{428DD7B4-AD14-4241-8B46-2E6C85D0FCC8}" name="Corner Nodes" dataDxfId="56"/>
    <tableColumn id="5" xr3:uid="{20CC227D-55C1-429F-8FF5-6140B4279B45}" name="Normal Stress" dataDxfId="55"/>
    <tableColumn id="6" xr3:uid="{A7BB7E8A-542F-4117-B042-265A4DC69B83}" name="Equivalent Strain" dataDxfId="54"/>
    <tableColumn id="7" xr3:uid="{2C8BD24B-D92B-4643-985C-2F28D077B5F0}" name="Equivalent Vons Mises" dataDxfId="53"/>
    <tableColumn id="8" xr3:uid="{AADC94EB-E7FD-4D9C-BA9B-343C9DA3FE2F}" name="Maximum Shear" dataDxfId="52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921A5AFF-4F57-40E0-822C-D9C77188AB5F}" name="Table6" displayName="Table6" ref="A22:H27" totalsRowShown="0" headerRowDxfId="51" dataDxfId="50">
  <autoFilter ref="A22:H27" xr:uid="{921A5AFF-4F57-40E0-822C-D9C77188AB5F}"/>
  <tableColumns count="8">
    <tableColumn id="1" xr3:uid="{780892CE-48F1-4107-AE4E-A824746EE32A}" name="Element Size" dataDxfId="49"/>
    <tableColumn id="2" xr3:uid="{61288CBF-9D2B-4B04-900F-D143C403DF92}" name="Elements" dataDxfId="48"/>
    <tableColumn id="3" xr3:uid="{7533B9D4-BEA0-425C-8E16-E24CCB742417}" name="Nodes" dataDxfId="47"/>
    <tableColumn id="4" xr3:uid="{D09450EC-4945-4693-8905-32573C945E1B}" name="Corner Nodes" dataDxfId="46"/>
    <tableColumn id="5" xr3:uid="{C626BAB0-F3CC-435A-8090-0A124798D705}" name="Normal Stress" dataDxfId="45"/>
    <tableColumn id="6" xr3:uid="{30F8DEF8-2C90-4354-9480-2FDEFB126189}" name="Equivalent Strain" dataDxfId="44"/>
    <tableColumn id="7" xr3:uid="{D3ECBB3F-F379-4C69-A014-D30E8BA95B7D}" name="Equivalent Vons Mises" dataDxfId="43"/>
    <tableColumn id="8" xr3:uid="{668C3E3D-4FAA-4AAC-8C8C-241F129FAF36}" name="Maximum Shear" dataDxfId="4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7" Type="http://schemas.openxmlformats.org/officeDocument/2006/relationships/table" Target="../tables/table12.xml"/><Relationship Id="rId2" Type="http://schemas.openxmlformats.org/officeDocument/2006/relationships/table" Target="../tables/table7.xml"/><Relationship Id="rId1" Type="http://schemas.openxmlformats.org/officeDocument/2006/relationships/drawing" Target="../drawings/drawing2.xml"/><Relationship Id="rId6" Type="http://schemas.openxmlformats.org/officeDocument/2006/relationships/table" Target="../tables/table11.xml"/><Relationship Id="rId5" Type="http://schemas.openxmlformats.org/officeDocument/2006/relationships/table" Target="../tables/table10.xml"/><Relationship Id="rId4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915D4-7C21-4EE1-BF87-E7243E84E0A8}">
  <dimension ref="A2:AD71"/>
  <sheetViews>
    <sheetView topLeftCell="A36" zoomScale="85" zoomScaleNormal="40" workbookViewId="0">
      <selection activeCell="A65" sqref="A65:D71"/>
    </sheetView>
  </sheetViews>
  <sheetFormatPr defaultRowHeight="14.5" x14ac:dyDescent="0.35"/>
  <cols>
    <col min="1" max="1" width="17.7265625" bestFit="1" customWidth="1"/>
    <col min="2" max="2" width="14.6328125" bestFit="1" customWidth="1"/>
    <col min="3" max="3" width="12.1796875" bestFit="1" customWidth="1"/>
    <col min="4" max="4" width="18.1796875" bestFit="1" customWidth="1"/>
    <col min="5" max="5" width="18.7265625" bestFit="1" customWidth="1"/>
    <col min="6" max="6" width="24.90625" bestFit="1" customWidth="1"/>
    <col min="7" max="7" width="25.54296875" bestFit="1" customWidth="1"/>
    <col min="8" max="8" width="27.6328125" bestFit="1" customWidth="1"/>
    <col min="9" max="9" width="23.7265625" bestFit="1" customWidth="1"/>
    <col min="17" max="17" width="13.453125" customWidth="1"/>
    <col min="18" max="18" width="10.7265625" customWidth="1"/>
    <col min="19" max="19" width="8.1796875" customWidth="1"/>
    <col min="20" max="20" width="14.08984375" customWidth="1"/>
    <col min="21" max="21" width="14.26953125" customWidth="1"/>
    <col min="22" max="22" width="12.1796875" style="3" customWidth="1"/>
    <col min="23" max="23" width="19.54296875" customWidth="1"/>
    <col min="24" max="24" width="17.81640625" style="3" customWidth="1"/>
    <col min="25" max="25" width="21.1796875" customWidth="1"/>
    <col min="26" max="26" width="18.90625" style="3" customWidth="1"/>
    <col min="27" max="27" width="22.453125" customWidth="1"/>
    <col min="28" max="28" width="20.26953125" style="3" customWidth="1"/>
    <col min="29" max="29" width="23.453125" customWidth="1"/>
    <col min="30" max="30" width="20.7265625" style="3" customWidth="1"/>
  </cols>
  <sheetData>
    <row r="2" spans="1:30" x14ac:dyDescent="0.35">
      <c r="A2" t="s">
        <v>8</v>
      </c>
      <c r="Q2" t="s">
        <v>8</v>
      </c>
    </row>
    <row r="4" spans="1:30" x14ac:dyDescent="0.35">
      <c r="A4" s="1" t="s">
        <v>0</v>
      </c>
      <c r="B4" s="1" t="s">
        <v>9</v>
      </c>
      <c r="C4" s="1" t="s">
        <v>1</v>
      </c>
      <c r="D4" s="1" t="s">
        <v>2</v>
      </c>
      <c r="E4" s="1" t="s">
        <v>3</v>
      </c>
      <c r="F4" s="1" t="s">
        <v>5</v>
      </c>
      <c r="G4" s="1" t="s">
        <v>4</v>
      </c>
      <c r="H4" s="1" t="s">
        <v>6</v>
      </c>
      <c r="I4" s="1" t="s">
        <v>19</v>
      </c>
      <c r="Q4" t="s">
        <v>0</v>
      </c>
      <c r="R4" t="s">
        <v>9</v>
      </c>
      <c r="S4" t="s">
        <v>1</v>
      </c>
      <c r="T4" t="s">
        <v>2</v>
      </c>
      <c r="U4" t="s">
        <v>3</v>
      </c>
      <c r="V4" s="13" t="s">
        <v>25</v>
      </c>
      <c r="W4" t="s">
        <v>5</v>
      </c>
      <c r="X4" s="12" t="s">
        <v>29</v>
      </c>
      <c r="Y4" t="s">
        <v>4</v>
      </c>
      <c r="Z4" s="11" t="s">
        <v>26</v>
      </c>
      <c r="AA4" t="s">
        <v>6</v>
      </c>
      <c r="AB4" s="10" t="s">
        <v>27</v>
      </c>
      <c r="AC4" t="s">
        <v>19</v>
      </c>
      <c r="AD4" s="9" t="s">
        <v>28</v>
      </c>
    </row>
    <row r="5" spans="1:30" x14ac:dyDescent="0.35">
      <c r="A5" s="1" t="s">
        <v>18</v>
      </c>
      <c r="B5" s="1"/>
      <c r="C5" s="1"/>
      <c r="D5" s="1"/>
      <c r="E5" s="1">
        <v>10</v>
      </c>
      <c r="F5" s="1">
        <v>0</v>
      </c>
      <c r="G5" s="1"/>
      <c r="H5" s="1"/>
      <c r="I5" s="1">
        <v>0</v>
      </c>
      <c r="Q5" t="s">
        <v>18</v>
      </c>
    </row>
    <row r="6" spans="1:30" x14ac:dyDescent="0.35">
      <c r="A6" s="2" t="s">
        <v>17</v>
      </c>
      <c r="B6" s="1">
        <v>150</v>
      </c>
      <c r="C6" s="1">
        <v>557</v>
      </c>
      <c r="D6" s="1">
        <v>204</v>
      </c>
      <c r="E6" s="1">
        <v>1436.6</v>
      </c>
      <c r="F6" s="1">
        <v>1.958E-2</v>
      </c>
      <c r="G6" s="1">
        <v>1425.9</v>
      </c>
      <c r="H6" s="1">
        <v>7.3288000000000006E-2</v>
      </c>
      <c r="I6">
        <v>1.3608E-2</v>
      </c>
      <c r="Q6" t="s">
        <v>17</v>
      </c>
      <c r="R6">
        <v>150</v>
      </c>
      <c r="S6">
        <v>557</v>
      </c>
      <c r="T6">
        <v>204</v>
      </c>
      <c r="U6">
        <v>1436.6</v>
      </c>
      <c r="W6">
        <v>1.958E-2</v>
      </c>
      <c r="Y6">
        <v>1425.9</v>
      </c>
      <c r="AA6">
        <v>7.3288000000000006E-2</v>
      </c>
      <c r="AC6">
        <v>1.3608E-2</v>
      </c>
    </row>
    <row r="7" spans="1:30" x14ac:dyDescent="0.35">
      <c r="A7" s="2" t="s">
        <v>16</v>
      </c>
      <c r="B7" s="1">
        <v>268</v>
      </c>
      <c r="C7" s="1">
        <v>947</v>
      </c>
      <c r="D7" s="1">
        <v>340</v>
      </c>
      <c r="E7" s="1">
        <v>1879.9</v>
      </c>
      <c r="F7" s="1">
        <v>2.5994E-2</v>
      </c>
      <c r="G7" s="1">
        <v>1880.3</v>
      </c>
      <c r="H7" s="1">
        <v>8.0979499999999996E-2</v>
      </c>
      <c r="I7">
        <v>2.8310999999999999E-2</v>
      </c>
      <c r="Q7" t="s">
        <v>16</v>
      </c>
      <c r="R7">
        <v>268</v>
      </c>
      <c r="S7">
        <v>947</v>
      </c>
      <c r="T7">
        <v>340</v>
      </c>
      <c r="U7">
        <v>1879.9</v>
      </c>
      <c r="V7" s="3">
        <f>(((Table13[[#This Row],[Normal Stress]]-U6)/U6)+((Table13[[#This Row],[Normal Stress]]-U6)/Table13[[#This Row],[Normal Stress]]))/2</f>
        <v>0.27219310971462685</v>
      </c>
      <c r="W7">
        <v>2.5994E-2</v>
      </c>
      <c r="X7" s="3">
        <f>(((Table13[[#This Row],[Normal Elastic Strain]]-W6)/W6)+((Table13[[#This Row],[Normal Elastic Strain]]-W6)/Table13[[#This Row],[Normal Elastic Strain]]))/2</f>
        <v>0.2871642061187531</v>
      </c>
      <c r="Y7">
        <v>1880.3</v>
      </c>
      <c r="Z7" s="3">
        <f>(((Table13[[#This Row],[Equivalent Vons Mises]]-Y6)/Y6)+((Table13[[#This Row],[Equivalent Vons Mises]]-Y6)/Table13[[#This Row],[Equivalent Vons Mises]]))/2</f>
        <v>0.28016974415134011</v>
      </c>
      <c r="AA7">
        <v>8.0979499999999996E-2</v>
      </c>
      <c r="AB7" s="3">
        <f>(((Table13[[#This Row],[Equilavent Elastic Strain]]-AA6)/AA6)+((Table13[[#This Row],[Equilavent Elastic Strain]]-AA6)/Table13[[#This Row],[Equilavent Elastic Strain]]))/2</f>
        <v>9.9964898467253843E-2</v>
      </c>
      <c r="AC7">
        <v>2.8310999999999999E-2</v>
      </c>
      <c r="AD7" s="3">
        <f>(((Table13[[#This Row],[Lateral Deformation (mm)]]-AC6)/AC6)+((Table13[[#This Row],[Lateral Deformation (mm)]]-AC6)/Table13[[#This Row],[Lateral Deformation (mm)]]))/2</f>
        <v>0.79990307252458004</v>
      </c>
    </row>
    <row r="8" spans="1:30" x14ac:dyDescent="0.35">
      <c r="A8" s="2" t="s">
        <v>15</v>
      </c>
      <c r="B8" s="1">
        <v>600</v>
      </c>
      <c r="C8" s="1">
        <v>2013</v>
      </c>
      <c r="D8" s="1">
        <v>707</v>
      </c>
      <c r="E8" s="1">
        <v>1809.4</v>
      </c>
      <c r="F8" s="1">
        <v>2.4437E-2</v>
      </c>
      <c r="G8" s="1">
        <v>1783.5</v>
      </c>
      <c r="H8" s="1">
        <v>0.10193000000000001</v>
      </c>
      <c r="I8">
        <v>1.5442000000000001E-2</v>
      </c>
      <c r="Q8" t="s">
        <v>15</v>
      </c>
      <c r="R8">
        <v>600</v>
      </c>
      <c r="S8">
        <v>2013</v>
      </c>
      <c r="T8">
        <v>707</v>
      </c>
      <c r="U8">
        <v>1809.4</v>
      </c>
      <c r="V8" s="3">
        <f>(((Table13[[#This Row],[Normal Stress]]-U7)/U7)+((Table13[[#This Row],[Normal Stress]]-U7)/Table13[[#This Row],[Normal Stress]]))/2</f>
        <v>-3.8232593502685847E-2</v>
      </c>
      <c r="W8">
        <v>2.4437E-2</v>
      </c>
      <c r="X8" s="3">
        <f>(((Table13[[#This Row],[Normal Elastic Strain]]-W7)/W7)+((Table13[[#This Row],[Normal Elastic Strain]]-W7)/Table13[[#This Row],[Normal Elastic Strain]]))/2</f>
        <v>-6.180664835856664E-2</v>
      </c>
      <c r="Y8">
        <v>1783.5</v>
      </c>
      <c r="Z8" s="3">
        <f>(((Table13[[#This Row],[Equivalent Vons Mises]]-Y7)/Y7)+((Table13[[#This Row],[Equivalent Vons Mises]]-Y7)/Table13[[#This Row],[Equivalent Vons Mises]]))/2</f>
        <v>-5.2878223999620909E-2</v>
      </c>
      <c r="AA8">
        <v>0.10193000000000001</v>
      </c>
      <c r="AB8" s="3">
        <f>(((Table13[[#This Row],[Equilavent Elastic Strain]]-AA7)/AA7)+((Table13[[#This Row],[Equilavent Elastic Strain]]-AA7)/Table13[[#This Row],[Equilavent Elastic Strain]]))/2</f>
        <v>0.23212586972274218</v>
      </c>
      <c r="AC8">
        <v>1.5442000000000001E-2</v>
      </c>
      <c r="AD8" s="3">
        <f>(((Table13[[#This Row],[Lateral Deformation (mm)]]-AC7)/AC7)+((Table13[[#This Row],[Lateral Deformation (mm)]]-AC7)/Table13[[#This Row],[Lateral Deformation (mm)]]))/2</f>
        <v>-0.6439674022642039</v>
      </c>
    </row>
    <row r="9" spans="1:30" x14ac:dyDescent="0.35">
      <c r="A9" s="2" t="s">
        <v>14</v>
      </c>
      <c r="B9" s="1">
        <v>2600</v>
      </c>
      <c r="C9" s="1">
        <v>8227</v>
      </c>
      <c r="D9" s="1">
        <v>2814</v>
      </c>
      <c r="E9" s="1">
        <v>2212</v>
      </c>
      <c r="F9" s="1">
        <v>2.9838E-2</v>
      </c>
      <c r="G9" s="1">
        <v>2180.8000000000002</v>
      </c>
      <c r="H9" s="1">
        <v>0.13286000000000001</v>
      </c>
      <c r="I9">
        <v>1.4893999999999999E-2</v>
      </c>
      <c r="Q9" t="s">
        <v>14</v>
      </c>
      <c r="R9">
        <v>2600</v>
      </c>
      <c r="S9">
        <v>8227</v>
      </c>
      <c r="T9">
        <v>2814</v>
      </c>
      <c r="U9">
        <v>2212</v>
      </c>
      <c r="V9" s="3">
        <f>(((Table13[[#This Row],[Normal Stress]]-U8)/U8)+((Table13[[#This Row],[Normal Stress]]-U8)/Table13[[#This Row],[Normal Stress]]))/2</f>
        <v>0.20225596548144895</v>
      </c>
      <c r="W9">
        <v>2.9838E-2</v>
      </c>
      <c r="X9" s="3">
        <f>(((Table13[[#This Row],[Normal Elastic Strain]]-W8)/W8)+((Table13[[#This Row],[Normal Elastic Strain]]-W8)/Table13[[#This Row],[Normal Elastic Strain]]))/2</f>
        <v>0.20101405071254863</v>
      </c>
      <c r="Y9">
        <v>2180.8000000000002</v>
      </c>
      <c r="Z9" s="3">
        <f>(((Table13[[#This Row],[Equivalent Vons Mises]]-Y8)/Y8)+((Table13[[#This Row],[Equivalent Vons Mises]]-Y8)/Table13[[#This Row],[Equivalent Vons Mises]]))/2</f>
        <v>0.2024725393530532</v>
      </c>
      <c r="AA9">
        <v>0.13286000000000001</v>
      </c>
      <c r="AB9" s="3">
        <f>(((Table13[[#This Row],[Equilavent Elastic Strain]]-AA8)/AA8)+((Table13[[#This Row],[Equilavent Elastic Strain]]-AA8)/Table13[[#This Row],[Equilavent Elastic Strain]]))/2</f>
        <v>0.26812249240715458</v>
      </c>
      <c r="AC9">
        <v>1.4893999999999999E-2</v>
      </c>
      <c r="AD9" s="3">
        <f>(((Table13[[#This Row],[Lateral Deformation (mm)]]-AC8)/AC8)+((Table13[[#This Row],[Lateral Deformation (mm)]]-AC8)/Table13[[#This Row],[Lateral Deformation (mm)]]))/2</f>
        <v>-3.6140485367851152E-2</v>
      </c>
    </row>
    <row r="10" spans="1:30" x14ac:dyDescent="0.35">
      <c r="A10" s="1" t="s">
        <v>30</v>
      </c>
      <c r="B10" s="1">
        <v>10000</v>
      </c>
      <c r="C10" s="1">
        <v>30851</v>
      </c>
      <c r="D10" s="1">
        <v>10426</v>
      </c>
      <c r="E10" s="1">
        <v>2550.8000000000002</v>
      </c>
      <c r="F10" s="1">
        <v>3.533E-2</v>
      </c>
      <c r="G10" s="1">
        <v>2569</v>
      </c>
      <c r="H10" s="1">
        <v>0.14878</v>
      </c>
      <c r="I10">
        <v>1.4947E-2</v>
      </c>
      <c r="Q10" t="s">
        <v>30</v>
      </c>
      <c r="R10">
        <v>10000</v>
      </c>
      <c r="S10">
        <v>30851</v>
      </c>
      <c r="T10">
        <v>10426</v>
      </c>
      <c r="U10">
        <f>Table1[[#This Row],[Normal Stress]]</f>
        <v>2550.8000000000002</v>
      </c>
      <c r="V10" s="3">
        <f>(Table13[[#This Row],[Normal Stress]]-U9)/U9</f>
        <v>0.15316455696202541</v>
      </c>
      <c r="W10">
        <f>Table1[[#This Row],[Normal Elastic Strain]]</f>
        <v>3.533E-2</v>
      </c>
      <c r="X10" s="3">
        <f>(Table13[[#This Row],[Normal Elastic Strain]]-W9)/W9</f>
        <v>0.18406059387358403</v>
      </c>
      <c r="Y10">
        <f>Table1[[#This Row],[Equivalent Vons Mises]]</f>
        <v>2569</v>
      </c>
      <c r="Z10" s="3">
        <f>(Table13[[#This Row],[Equivalent Vons Mises]]-Y9)/Y9</f>
        <v>0.17800807043286856</v>
      </c>
      <c r="AA10">
        <f>Table1[[#This Row],[Equilavent Elastic Strain]]</f>
        <v>0.14878</v>
      </c>
      <c r="AB10" s="3">
        <f>(Table13[[#This Row],[Equilavent Elastic Strain]]-AA9)/AA9</f>
        <v>0.11982538009935262</v>
      </c>
      <c r="AC10">
        <f>Table1[[#This Row],[Lateral Deformation (mm)]]</f>
        <v>1.4947E-2</v>
      </c>
      <c r="AD10" s="3">
        <f>(Table13[[#This Row],[Lateral Deformation (mm)]]-AC9)/AC9</f>
        <v>3.5584799248019987E-3</v>
      </c>
    </row>
    <row r="11" spans="1:30" x14ac:dyDescent="0.35">
      <c r="A11" s="1" t="s">
        <v>31</v>
      </c>
      <c r="B11" s="1">
        <v>40000</v>
      </c>
      <c r="C11" s="1">
        <v>121701</v>
      </c>
      <c r="D11" s="1">
        <v>40851</v>
      </c>
      <c r="E11" s="1">
        <v>3392</v>
      </c>
      <c r="F11" s="1">
        <v>4.6951E-2</v>
      </c>
      <c r="G11" s="1">
        <v>3422.5</v>
      </c>
      <c r="H11" s="1">
        <v>0.16295000000000001</v>
      </c>
      <c r="I11">
        <v>1.5133000000000001E-2</v>
      </c>
      <c r="Q11" t="s">
        <v>31</v>
      </c>
      <c r="R11">
        <v>40000</v>
      </c>
      <c r="S11">
        <v>121701</v>
      </c>
      <c r="T11">
        <v>40851</v>
      </c>
      <c r="U11">
        <f>Table1[[#This Row],[Normal Stress]]</f>
        <v>3392</v>
      </c>
      <c r="V11" s="3">
        <f>(Table13[[#This Row],[Normal Stress]]-U10)/U10</f>
        <v>0.32977889289634615</v>
      </c>
      <c r="W11">
        <f>Table1[[#This Row],[Normal Elastic Strain]]</f>
        <v>4.6951E-2</v>
      </c>
      <c r="X11" s="3">
        <f>(Table13[[#This Row],[Normal Elastic Strain]]-W10)/W10</f>
        <v>0.32892725728842342</v>
      </c>
      <c r="Y11">
        <f>Table1[[#This Row],[Equivalent Vons Mises]]</f>
        <v>3422.5</v>
      </c>
      <c r="Z11" s="3">
        <f>(Table13[[#This Row],[Equivalent Vons Mises]]-Y10)/Y10</f>
        <v>0.33223043985986767</v>
      </c>
      <c r="AA11">
        <f>Table1[[#This Row],[Equilavent Elastic Strain]]</f>
        <v>0.16295000000000001</v>
      </c>
      <c r="AB11" s="3">
        <f>(Table13[[#This Row],[Equilavent Elastic Strain]]-AA10)/AA10</f>
        <v>9.5241295873101331E-2</v>
      </c>
      <c r="AC11">
        <f>Table1[[#This Row],[Lateral Deformation (mm)]]</f>
        <v>1.5133000000000001E-2</v>
      </c>
      <c r="AD11" s="3">
        <f>(Table13[[#This Row],[Lateral Deformation (mm)]]-AC10)/AC10</f>
        <v>1.2443968689369131E-2</v>
      </c>
    </row>
    <row r="13" spans="1:30" x14ac:dyDescent="0.35">
      <c r="A13" s="1" t="s">
        <v>0</v>
      </c>
      <c r="B13" s="1" t="s">
        <v>9</v>
      </c>
      <c r="C13" s="1" t="s">
        <v>1</v>
      </c>
      <c r="D13" s="1" t="s">
        <v>2</v>
      </c>
      <c r="E13" s="1" t="s">
        <v>3</v>
      </c>
      <c r="F13" s="1" t="s">
        <v>5</v>
      </c>
      <c r="G13" s="1" t="s">
        <v>4</v>
      </c>
      <c r="H13" s="1" t="s">
        <v>6</v>
      </c>
      <c r="I13" s="1" t="s">
        <v>7</v>
      </c>
      <c r="Q13" t="s">
        <v>0</v>
      </c>
      <c r="R13" t="s">
        <v>9</v>
      </c>
      <c r="S13" t="s">
        <v>1</v>
      </c>
      <c r="T13" t="s">
        <v>2</v>
      </c>
      <c r="U13" t="s">
        <v>3</v>
      </c>
      <c r="V13" s="13" t="s">
        <v>25</v>
      </c>
      <c r="W13" t="s">
        <v>5</v>
      </c>
      <c r="X13" s="12" t="s">
        <v>29</v>
      </c>
      <c r="Y13" t="s">
        <v>4</v>
      </c>
      <c r="Z13" s="11" t="s">
        <v>26</v>
      </c>
      <c r="AA13" t="s">
        <v>6</v>
      </c>
      <c r="AB13" s="10" t="s">
        <v>27</v>
      </c>
      <c r="AC13" t="s">
        <v>7</v>
      </c>
      <c r="AD13" s="9" t="s">
        <v>28</v>
      </c>
    </row>
    <row r="14" spans="1:30" x14ac:dyDescent="0.35">
      <c r="A14" s="1" t="s">
        <v>18</v>
      </c>
      <c r="B14" s="1"/>
      <c r="C14" s="1"/>
      <c r="D14" s="1"/>
      <c r="E14" s="1">
        <v>10</v>
      </c>
      <c r="F14" s="1">
        <v>0</v>
      </c>
      <c r="G14" s="1"/>
      <c r="H14" s="1"/>
      <c r="I14" s="1">
        <v>0</v>
      </c>
      <c r="Q14" t="s">
        <v>18</v>
      </c>
      <c r="U14">
        <v>10</v>
      </c>
      <c r="W14">
        <v>0</v>
      </c>
      <c r="AC14">
        <v>0</v>
      </c>
    </row>
    <row r="15" spans="1:30" x14ac:dyDescent="0.35">
      <c r="A15" s="2" t="s">
        <v>17</v>
      </c>
      <c r="B15" s="1">
        <v>150</v>
      </c>
      <c r="C15" s="1">
        <v>557</v>
      </c>
      <c r="D15" s="1">
        <v>204</v>
      </c>
      <c r="E15" s="1">
        <v>1325.7</v>
      </c>
      <c r="F15" s="1">
        <v>1.7989999999999999E-2</v>
      </c>
      <c r="G15" s="1">
        <v>1318.5</v>
      </c>
      <c r="H15" s="1">
        <v>6.9510000000000002E-2</v>
      </c>
      <c r="I15">
        <v>1.6216999999999999E-2</v>
      </c>
      <c r="Q15" t="s">
        <v>17</v>
      </c>
      <c r="R15">
        <v>150</v>
      </c>
      <c r="S15">
        <v>557</v>
      </c>
      <c r="T15">
        <v>204</v>
      </c>
      <c r="U15">
        <v>1325.7</v>
      </c>
      <c r="W15">
        <v>1.7989999999999999E-2</v>
      </c>
      <c r="Y15">
        <v>1318.5</v>
      </c>
      <c r="AA15">
        <v>6.9510000000000002E-2</v>
      </c>
      <c r="AC15">
        <v>1.6216999999999999E-2</v>
      </c>
    </row>
    <row r="16" spans="1:30" x14ac:dyDescent="0.35">
      <c r="A16" s="2" t="s">
        <v>16</v>
      </c>
      <c r="B16" s="1">
        <v>268</v>
      </c>
      <c r="C16" s="1">
        <v>947</v>
      </c>
      <c r="D16" s="1">
        <v>340</v>
      </c>
      <c r="E16" s="1">
        <v>1643.6</v>
      </c>
      <c r="F16" s="1">
        <v>2.273E-2</v>
      </c>
      <c r="G16" s="1">
        <v>1644.5</v>
      </c>
      <c r="H16" s="1">
        <v>7.5377E-2</v>
      </c>
      <c r="I16">
        <v>3.2079999999999997E-2</v>
      </c>
      <c r="Q16" t="s">
        <v>16</v>
      </c>
      <c r="R16">
        <v>268</v>
      </c>
      <c r="S16">
        <v>947</v>
      </c>
      <c r="T16">
        <v>340</v>
      </c>
      <c r="U16">
        <v>1643.6</v>
      </c>
      <c r="V16" s="3">
        <f>(((Table12[[#This Row],[Normal Stress]]-U15)/U15)+((Table12[[#This Row],[Normal Stress]]-U15)/Table12[[#This Row],[Normal Stress]]))/2</f>
        <v>0.21660736620168219</v>
      </c>
      <c r="W16">
        <v>2.273E-2</v>
      </c>
      <c r="X16" s="3">
        <f>(((Table12[[#This Row],[Normal Elastic Strain]]-W15)/W15)+((Table12[[#This Row],[Normal Elastic Strain]]-W15)/Table12[[#This Row],[Normal Elastic Strain]]))/2</f>
        <v>0.23600734337671592</v>
      </c>
      <c r="Y16">
        <v>1644.5</v>
      </c>
      <c r="Z16" s="3">
        <f>(((Table12[[#This Row],[Equivalent Vons Mises]]-Y15)/Y15)+((Table12[[#This Row],[Equivalent Vons Mises]]-Y15)/Table12[[#This Row],[Equivalent Vons Mises]]))/2</f>
        <v>0.22274360484777461</v>
      </c>
      <c r="AA16">
        <v>7.5377E-2</v>
      </c>
      <c r="AB16" s="3">
        <f>(((Table12[[#This Row],[Equilavent Elastic Strain]]-AA15)/AA15)+((Table12[[#This Row],[Equilavent Elastic Strain]]-AA15)/Table12[[#This Row],[Equilavent Elastic Strain]]))/2</f>
        <v>8.1120267775470434E-2</v>
      </c>
      <c r="AC16">
        <v>3.2079999999999997E-2</v>
      </c>
      <c r="AD16" s="3">
        <f>(((Table12[[#This Row],[Lateral Deformation]]-AC15)/AC15)+((Table12[[#This Row],[Lateral Deformation]]-AC15)/Table12[[#This Row],[Lateral Deformation]]))/2</f>
        <v>0.73632679935328482</v>
      </c>
    </row>
    <row r="17" spans="1:30" x14ac:dyDescent="0.35">
      <c r="A17" s="2" t="s">
        <v>15</v>
      </c>
      <c r="B17" s="1">
        <v>600</v>
      </c>
      <c r="C17" s="1">
        <v>2013</v>
      </c>
      <c r="D17" s="1">
        <v>707</v>
      </c>
      <c r="E17" s="1">
        <v>1675.1</v>
      </c>
      <c r="F17" s="1">
        <v>2.2647E-2</v>
      </c>
      <c r="G17" s="1">
        <v>1654.2</v>
      </c>
      <c r="H17" s="1">
        <v>9.6020999999999995E-2</v>
      </c>
      <c r="I17">
        <v>1.7961999999999999E-2</v>
      </c>
      <c r="Q17" t="s">
        <v>15</v>
      </c>
      <c r="R17">
        <v>600</v>
      </c>
      <c r="S17">
        <v>2013</v>
      </c>
      <c r="T17">
        <v>707</v>
      </c>
      <c r="U17">
        <v>1675.1</v>
      </c>
      <c r="V17" s="3">
        <f>(((Table12[[#This Row],[Normal Stress]]-U16)/U16)+((Table12[[#This Row],[Normal Stress]]-U16)/Table12[[#This Row],[Normal Stress]]))/2</f>
        <v>1.8985047245266042E-2</v>
      </c>
      <c r="W17">
        <v>2.2647E-2</v>
      </c>
      <c r="X17" s="3">
        <f>(((Table12[[#This Row],[Normal Elastic Strain]]-W16)/W16)+((Table12[[#This Row],[Normal Elastic Strain]]-W16)/Table12[[#This Row],[Normal Elastic Strain]]))/2</f>
        <v>-3.6582531984270571E-3</v>
      </c>
      <c r="Y17">
        <v>1654.2</v>
      </c>
      <c r="Z17" s="3">
        <f>(((Table12[[#This Row],[Equivalent Vons Mises]]-Y16)/Y16)+((Table12[[#This Row],[Equivalent Vons Mises]]-Y16)/Table12[[#This Row],[Equivalent Vons Mises]]))/2</f>
        <v>5.8811555310585729E-3</v>
      </c>
      <c r="AA17">
        <v>9.6020999999999995E-2</v>
      </c>
      <c r="AB17" s="3">
        <f>(((Table12[[#This Row],[Equilavent Elastic Strain]]-AA16)/AA16)+((Table12[[#This Row],[Equilavent Elastic Strain]]-AA16)/Table12[[#This Row],[Equilavent Elastic Strain]]))/2</f>
        <v>0.24443564165619378</v>
      </c>
      <c r="AC17">
        <v>1.7961999999999999E-2</v>
      </c>
      <c r="AD17" s="3">
        <f>(((Table12[[#This Row],[Lateral Deformation]]-AC16)/AC16)+((Table12[[#This Row],[Lateral Deformation]]-AC16)/Table12[[#This Row],[Lateral Deformation]]))/2</f>
        <v>-0.61303996647397208</v>
      </c>
    </row>
    <row r="18" spans="1:30" x14ac:dyDescent="0.35">
      <c r="A18" s="2" t="s">
        <v>14</v>
      </c>
      <c r="B18" s="1">
        <v>2600</v>
      </c>
      <c r="C18" s="1">
        <v>8227</v>
      </c>
      <c r="D18" s="1">
        <v>2814</v>
      </c>
      <c r="E18" s="1">
        <v>2052.6999999999998</v>
      </c>
      <c r="F18" s="1">
        <v>2.7688999999999998E-2</v>
      </c>
      <c r="G18" s="1">
        <v>2024.2</v>
      </c>
      <c r="H18" s="1">
        <v>0.12523999999999999</v>
      </c>
      <c r="I18">
        <v>1.7468000000000001E-2</v>
      </c>
      <c r="Q18" t="s">
        <v>14</v>
      </c>
      <c r="R18">
        <v>2600</v>
      </c>
      <c r="S18">
        <v>8227</v>
      </c>
      <c r="T18">
        <v>2814</v>
      </c>
      <c r="U18">
        <v>2052.6999999999998</v>
      </c>
      <c r="V18" s="3">
        <f>(((Table12[[#This Row],[Normal Stress]]-U17)/U17)+((Table12[[#This Row],[Normal Stress]]-U17)/Table12[[#This Row],[Normal Stress]]))/2</f>
        <v>0.20468611027256978</v>
      </c>
      <c r="W18">
        <v>2.7688999999999998E-2</v>
      </c>
      <c r="X18" s="3">
        <f>(((Table12[[#This Row],[Normal Elastic Strain]]-W17)/W17)+((Table12[[#This Row],[Normal Elastic Strain]]-W17)/Table12[[#This Row],[Normal Elastic Strain]]))/2</f>
        <v>0.20236415842018765</v>
      </c>
      <c r="Y18">
        <v>2024.2</v>
      </c>
      <c r="Z18" s="3">
        <f>(((Table12[[#This Row],[Equivalent Vons Mises]]-Y17)/Y17)+((Table12[[#This Row],[Equivalent Vons Mises]]-Y17)/Table12[[#This Row],[Equivalent Vons Mises]]))/2</f>
        <v>0.20323066831371836</v>
      </c>
      <c r="AA18">
        <v>0.12523999999999999</v>
      </c>
      <c r="AB18" s="3">
        <f>(((Table12[[#This Row],[Equilavent Elastic Strain]]-AA17)/AA17)+((Table12[[#This Row],[Equilavent Elastic Strain]]-AA17)/Table12[[#This Row],[Equilavent Elastic Strain]]))/2</f>
        <v>0.26880103717696879</v>
      </c>
      <c r="AC18">
        <v>1.7468000000000001E-2</v>
      </c>
      <c r="AD18" s="3">
        <f>(((Table12[[#This Row],[Lateral Deformation]]-AC17)/AC17)+((Table12[[#This Row],[Lateral Deformation]]-AC17)/Table12[[#This Row],[Lateral Deformation]]))/2</f>
        <v>-2.7891394618366667E-2</v>
      </c>
    </row>
    <row r="19" spans="1:30" x14ac:dyDescent="0.35">
      <c r="A19" s="1" t="s">
        <v>30</v>
      </c>
      <c r="B19" s="1">
        <v>10000</v>
      </c>
      <c r="C19" s="1">
        <v>30851</v>
      </c>
      <c r="D19" s="1">
        <v>10426</v>
      </c>
      <c r="E19" s="1">
        <v>2369.1999999999998</v>
      </c>
      <c r="F19" s="1">
        <v>3.2530999999999997E-2</v>
      </c>
      <c r="G19" s="1">
        <v>2366.1999999999998</v>
      </c>
      <c r="H19" s="1">
        <v>0.1404</v>
      </c>
      <c r="I19">
        <v>1.7521999999999999E-2</v>
      </c>
      <c r="Q19" t="s">
        <v>30</v>
      </c>
      <c r="R19">
        <v>10000</v>
      </c>
      <c r="S19">
        <v>30851</v>
      </c>
      <c r="T19">
        <v>10426</v>
      </c>
      <c r="U19">
        <f>Table2[[#This Row],[Normal Stress]]</f>
        <v>2369.1999999999998</v>
      </c>
      <c r="V19" s="3">
        <f>(Table12[[#This Row],[Normal Stress]]-U18)/U18</f>
        <v>0.15418716812003705</v>
      </c>
      <c r="W19">
        <f>Table2[[#This Row],[Normal Elastic Strain]]</f>
        <v>3.2530999999999997E-2</v>
      </c>
      <c r="X19" s="3">
        <f>(Table12[[#This Row],[Normal Elastic Strain]]-W18)/W18</f>
        <v>0.17487088735598971</v>
      </c>
      <c r="Y19">
        <f>Table2[[#This Row],[Equivalent Vons Mises]]</f>
        <v>2366.1999999999998</v>
      </c>
      <c r="Z19" s="3">
        <f>(Table12[[#This Row],[Equivalent Vons Mises]]-Y18)/Y18</f>
        <v>0.16895563679478301</v>
      </c>
      <c r="AA19">
        <f>Table2[[#This Row],[Equilavent Elastic Strain]]</f>
        <v>0.1404</v>
      </c>
      <c r="AB19" s="3">
        <f>(Table12[[#This Row],[Equilavent Elastic Strain]]-AA18)/AA18</f>
        <v>0.12104758862983078</v>
      </c>
      <c r="AC19">
        <f>Table2[[#This Row],[Lateral Deformation]]</f>
        <v>1.7521999999999999E-2</v>
      </c>
      <c r="AD19" s="3">
        <f>(Table12[[#This Row],[Lateral Deformation]]-AC18)/AC18</f>
        <v>3.0913670712158512E-3</v>
      </c>
    </row>
    <row r="20" spans="1:30" x14ac:dyDescent="0.35">
      <c r="A20" s="1" t="s">
        <v>31</v>
      </c>
      <c r="B20" s="1">
        <v>40000</v>
      </c>
      <c r="C20" s="1">
        <v>121701</v>
      </c>
      <c r="D20" s="1">
        <v>40851</v>
      </c>
      <c r="E20" s="1">
        <v>3165.9</v>
      </c>
      <c r="F20" s="1">
        <v>4.3815E-2</v>
      </c>
      <c r="G20" s="1">
        <v>3194.8</v>
      </c>
      <c r="H20" s="1">
        <v>0.15445</v>
      </c>
      <c r="I20">
        <v>1.7707000000000001E-2</v>
      </c>
      <c r="Q20" t="s">
        <v>31</v>
      </c>
      <c r="R20">
        <v>40000</v>
      </c>
      <c r="S20">
        <v>121701</v>
      </c>
      <c r="T20">
        <v>40851</v>
      </c>
      <c r="U20">
        <f>Table2[[#This Row],[Normal Stress]]</f>
        <v>3165.9</v>
      </c>
      <c r="V20" s="3">
        <f>(Table12[[#This Row],[Normal Stress]]-U19)/U19</f>
        <v>0.33627384771230812</v>
      </c>
      <c r="W20">
        <f>Table2[[#This Row],[Normal Elastic Strain]]</f>
        <v>4.3815E-2</v>
      </c>
      <c r="X20" s="3">
        <f>(Table12[[#This Row],[Normal Elastic Strain]]-W19)/W19</f>
        <v>0.34686914020472792</v>
      </c>
      <c r="Y20">
        <f>Table2[[#This Row],[Equivalent Vons Mises]]</f>
        <v>3194.8</v>
      </c>
      <c r="Z20" s="3">
        <f>(Table12[[#This Row],[Equivalent Vons Mises]]-Y19)/Y19</f>
        <v>0.35018172597413594</v>
      </c>
      <c r="AA20">
        <f>Table2[[#This Row],[Equilavent Elastic Strain]]</f>
        <v>0.15445</v>
      </c>
      <c r="AB20" s="3">
        <f>(Table12[[#This Row],[Equilavent Elastic Strain]]-AA19)/AA19</f>
        <v>0.10007122507122512</v>
      </c>
      <c r="AC20">
        <f>Table2[[#This Row],[Lateral Deformation]]</f>
        <v>1.7707000000000001E-2</v>
      </c>
      <c r="AD20" s="3">
        <f>(Table12[[#This Row],[Lateral Deformation]]-AC19)/AC19</f>
        <v>1.0558155461705351E-2</v>
      </c>
    </row>
    <row r="22" spans="1:30" x14ac:dyDescent="0.35">
      <c r="A22" s="1" t="s">
        <v>0</v>
      </c>
      <c r="B22" s="1" t="s">
        <v>9</v>
      </c>
      <c r="C22" s="1" t="s">
        <v>1</v>
      </c>
      <c r="D22" s="1" t="s">
        <v>2</v>
      </c>
      <c r="E22" s="1" t="s">
        <v>3</v>
      </c>
      <c r="F22" s="1" t="s">
        <v>5</v>
      </c>
      <c r="G22" s="1" t="s">
        <v>4</v>
      </c>
      <c r="H22" s="1" t="s">
        <v>6</v>
      </c>
      <c r="I22" s="1" t="s">
        <v>7</v>
      </c>
      <c r="Q22" t="s">
        <v>0</v>
      </c>
      <c r="R22" t="s">
        <v>9</v>
      </c>
      <c r="S22" t="s">
        <v>1</v>
      </c>
      <c r="T22" t="s">
        <v>2</v>
      </c>
      <c r="U22" t="s">
        <v>3</v>
      </c>
      <c r="V22" s="13" t="s">
        <v>25</v>
      </c>
      <c r="W22" t="s">
        <v>5</v>
      </c>
      <c r="X22" s="12" t="s">
        <v>29</v>
      </c>
      <c r="Y22" t="s">
        <v>4</v>
      </c>
      <c r="Z22" s="11" t="s">
        <v>26</v>
      </c>
      <c r="AA22" t="s">
        <v>6</v>
      </c>
      <c r="AB22" s="10" t="s">
        <v>27</v>
      </c>
      <c r="AC22" t="s">
        <v>7</v>
      </c>
      <c r="AD22" s="9" t="s">
        <v>28</v>
      </c>
    </row>
    <row r="23" spans="1:30" x14ac:dyDescent="0.35">
      <c r="A23" s="1" t="s">
        <v>18</v>
      </c>
      <c r="B23" s="1"/>
      <c r="C23" s="1"/>
      <c r="D23" s="1"/>
      <c r="E23" s="1">
        <v>10</v>
      </c>
      <c r="F23" s="1">
        <v>0</v>
      </c>
      <c r="G23" s="1"/>
      <c r="H23" s="1"/>
      <c r="I23" s="1">
        <v>0</v>
      </c>
      <c r="Q23" t="s">
        <v>18</v>
      </c>
      <c r="U23">
        <v>10</v>
      </c>
      <c r="W23">
        <v>0</v>
      </c>
      <c r="AC23">
        <v>0</v>
      </c>
    </row>
    <row r="24" spans="1:30" x14ac:dyDescent="0.35">
      <c r="A24" s="1" t="s">
        <v>17</v>
      </c>
      <c r="B24" s="1">
        <v>150</v>
      </c>
      <c r="C24" s="1">
        <v>557</v>
      </c>
      <c r="D24" s="1">
        <v>204</v>
      </c>
      <c r="E24" s="1">
        <v>863.95</v>
      </c>
      <c r="F24" s="1">
        <v>1.1726E-2</v>
      </c>
      <c r="G24" s="1">
        <v>859.93</v>
      </c>
      <c r="H24" s="1">
        <v>4.5872999999999997E-2</v>
      </c>
      <c r="I24">
        <v>1.2456E-2</v>
      </c>
      <c r="Q24" t="s">
        <v>17</v>
      </c>
      <c r="R24">
        <v>150</v>
      </c>
      <c r="S24">
        <v>557</v>
      </c>
      <c r="T24">
        <v>204</v>
      </c>
      <c r="U24">
        <v>863.95</v>
      </c>
      <c r="W24">
        <v>1.1726E-2</v>
      </c>
      <c r="Y24">
        <v>859.93</v>
      </c>
      <c r="AA24">
        <v>4.5872999999999997E-2</v>
      </c>
      <c r="AC24">
        <v>1.2456E-2</v>
      </c>
    </row>
    <row r="25" spans="1:30" x14ac:dyDescent="0.35">
      <c r="A25" s="1" t="s">
        <v>16</v>
      </c>
      <c r="B25" s="1">
        <v>268</v>
      </c>
      <c r="C25" s="1">
        <v>947</v>
      </c>
      <c r="D25" s="1">
        <v>340</v>
      </c>
      <c r="E25" s="1">
        <v>1043.2</v>
      </c>
      <c r="F25" s="1">
        <v>1.4428E-2</v>
      </c>
      <c r="G25" s="1">
        <v>1043.9000000000001</v>
      </c>
      <c r="H25" s="1">
        <v>5.0101E-2</v>
      </c>
      <c r="I25">
        <v>2.3947E-2</v>
      </c>
      <c r="Q25" t="s">
        <v>16</v>
      </c>
      <c r="R25">
        <v>268</v>
      </c>
      <c r="S25">
        <v>947</v>
      </c>
      <c r="T25">
        <v>340</v>
      </c>
      <c r="U25">
        <v>1043.2</v>
      </c>
      <c r="V25" s="3">
        <f>(((Table10[[#This Row],[Normal Stress]]-U24)/U24)+((Table10[[#This Row],[Normal Stress]]-U24)/Table10[[#This Row],[Normal Stress]]))/2</f>
        <v>0.18965217755861313</v>
      </c>
      <c r="W25">
        <v>1.4428E-2</v>
      </c>
      <c r="X25" s="3">
        <f>(((Table10[[#This Row],[Normal Elastic Strain]]-W24)/W24)+((Table10[[#This Row],[Normal Elastic Strain]]-W24)/Table10[[#This Row],[Normal Elastic Strain]]))/2</f>
        <v>0.20885142601554452</v>
      </c>
      <c r="Y25">
        <v>1043.9000000000001</v>
      </c>
      <c r="Z25" s="3">
        <f>(((Table10[[#This Row],[Equivalent Vons Mises]]-Y24)/Y24)+((Table10[[#This Row],[Equivalent Vons Mises]]-Y24)/Table10[[#This Row],[Equivalent Vons Mises]]))/2</f>
        <v>0.19508468686669572</v>
      </c>
      <c r="AA25">
        <v>5.0101E-2</v>
      </c>
      <c r="AB25" s="3">
        <f>(((Table10[[#This Row],[Equilavent Elastic Strain]]-AA24)/AA24)+((Table10[[#This Row],[Equilavent Elastic Strain]]-AA24)/Table10[[#This Row],[Equilavent Elastic Strain]]))/2</f>
        <v>8.827851954168231E-2</v>
      </c>
      <c r="AC25">
        <v>2.3947E-2</v>
      </c>
      <c r="AD25" s="3">
        <f>(((Table10[[#This Row],[Lateral Deformation]]-AC24)/AC24)+((Table10[[#This Row],[Lateral Deformation]]-AC24)/Table10[[#This Row],[Lateral Deformation]]))/2</f>
        <v>0.701189317227224</v>
      </c>
    </row>
    <row r="26" spans="1:30" x14ac:dyDescent="0.35">
      <c r="A26" s="1" t="s">
        <v>15</v>
      </c>
      <c r="B26" s="1">
        <v>600</v>
      </c>
      <c r="C26" s="1">
        <v>2013</v>
      </c>
      <c r="D26" s="1">
        <v>707</v>
      </c>
      <c r="E26" s="1">
        <v>1093.5999999999999</v>
      </c>
      <c r="F26" s="1">
        <v>1.478E-2</v>
      </c>
      <c r="G26" s="1">
        <v>1079.9000000000001</v>
      </c>
      <c r="H26" s="1">
        <v>6.2911999999999996E-2</v>
      </c>
      <c r="I26">
        <v>1.3653999999999999E-2</v>
      </c>
      <c r="Q26" t="s">
        <v>15</v>
      </c>
      <c r="R26">
        <v>600</v>
      </c>
      <c r="S26">
        <v>2013</v>
      </c>
      <c r="T26">
        <v>707</v>
      </c>
      <c r="U26">
        <v>1093.5999999999999</v>
      </c>
      <c r="V26" s="3">
        <f>(((Table10[[#This Row],[Normal Stress]]-U25)/U25)+((Table10[[#This Row],[Normal Stress]]-U25)/Table10[[#This Row],[Normal Stress]]))/2</f>
        <v>4.7199601922619377E-2</v>
      </c>
      <c r="W26">
        <v>1.478E-2</v>
      </c>
      <c r="X26" s="3">
        <f>(((Table10[[#This Row],[Normal Elastic Strain]]-W25)/W25)+((Table10[[#This Row],[Normal Elastic Strain]]-W25)/Table10[[#This Row],[Normal Elastic Strain]]))/2</f>
        <v>2.4106486672846691E-2</v>
      </c>
      <c r="Y26">
        <v>1079.9000000000001</v>
      </c>
      <c r="Z26" s="3">
        <f>(((Table10[[#This Row],[Equivalent Vons Mises]]-Y25)/Y25)+((Table10[[#This Row],[Equivalent Vons Mises]]-Y25)/Table10[[#This Row],[Equivalent Vons Mises]]))/2</f>
        <v>3.3911240961107321E-2</v>
      </c>
      <c r="AA26">
        <v>6.2911999999999996E-2</v>
      </c>
      <c r="AB26" s="3">
        <f>(((Table10[[#This Row],[Equilavent Elastic Strain]]-AA25)/AA25)+((Table10[[#This Row],[Equilavent Elastic Strain]]-AA25)/Table10[[#This Row],[Equilavent Elastic Strain]]))/2</f>
        <v>0.22966856298572907</v>
      </c>
      <c r="AC26">
        <v>1.3653999999999999E-2</v>
      </c>
      <c r="AD26" s="3">
        <f>(((Table10[[#This Row],[Lateral Deformation]]-AC25)/AC25)+((Table10[[#This Row],[Lateral Deformation]]-AC25)/Table10[[#This Row],[Lateral Deformation]]))/2</f>
        <v>-0.5918346110978967</v>
      </c>
    </row>
    <row r="27" spans="1:30" x14ac:dyDescent="0.35">
      <c r="A27" s="1" t="s">
        <v>14</v>
      </c>
      <c r="B27" s="1">
        <v>2600</v>
      </c>
      <c r="C27" s="1">
        <v>8227</v>
      </c>
      <c r="D27" s="1">
        <v>2814</v>
      </c>
      <c r="E27" s="1">
        <v>1340.7</v>
      </c>
      <c r="F27" s="1">
        <v>1.8086000000000001E-2</v>
      </c>
      <c r="G27" s="1">
        <v>1322.2</v>
      </c>
      <c r="H27" s="1">
        <v>8.2192000000000001E-2</v>
      </c>
      <c r="I27">
        <v>1.3327E-2</v>
      </c>
      <c r="Q27" t="s">
        <v>14</v>
      </c>
      <c r="R27">
        <v>2600</v>
      </c>
      <c r="S27">
        <v>8227</v>
      </c>
      <c r="T27">
        <v>2814</v>
      </c>
      <c r="U27">
        <v>1340.7</v>
      </c>
      <c r="V27" s="3">
        <f>(((Table10[[#This Row],[Normal Stress]]-U26)/U26)+((Table10[[#This Row],[Normal Stress]]-U26)/Table10[[#This Row],[Normal Stress]]))/2</f>
        <v>0.2051288465081923</v>
      </c>
      <c r="W27">
        <v>1.8086000000000001E-2</v>
      </c>
      <c r="X27" s="3">
        <f>(((Table10[[#This Row],[Normal Elastic Strain]]-W26)/W26)+((Table10[[#This Row],[Normal Elastic Strain]]-W26)/Table10[[#This Row],[Normal Elastic Strain]]))/2</f>
        <v>0.20323698516350325</v>
      </c>
      <c r="Y27">
        <v>1322.2</v>
      </c>
      <c r="Z27" s="3">
        <f>(((Table10[[#This Row],[Equivalent Vons Mises]]-Y26)/Y26)+((Table10[[#This Row],[Equivalent Vons Mises]]-Y26)/Table10[[#This Row],[Equivalent Vons Mises]]))/2</f>
        <v>0.20381390392722087</v>
      </c>
      <c r="AA27">
        <v>8.2192000000000001E-2</v>
      </c>
      <c r="AB27" s="3">
        <f>(((Table10[[#This Row],[Equilavent Elastic Strain]]-AA26)/AA26)+((Table10[[#This Row],[Equilavent Elastic Strain]]-AA26)/Table10[[#This Row],[Equilavent Elastic Strain]]))/2</f>
        <v>0.27051626234659654</v>
      </c>
      <c r="AC27">
        <v>1.3327E-2</v>
      </c>
      <c r="AD27" s="3">
        <f>(((Table10[[#This Row],[Lateral Deformation]]-AC26)/AC26)+((Table10[[#This Row],[Lateral Deformation]]-AC26)/Table10[[#This Row],[Lateral Deformation]]))/2</f>
        <v>-2.4242840418775537E-2</v>
      </c>
    </row>
    <row r="28" spans="1:30" x14ac:dyDescent="0.35">
      <c r="A28" s="1" t="s">
        <v>30</v>
      </c>
      <c r="B28" s="1">
        <v>10000</v>
      </c>
      <c r="C28" s="1">
        <v>30851</v>
      </c>
      <c r="D28" s="1">
        <v>10426</v>
      </c>
      <c r="E28" s="1">
        <v>1548.3</v>
      </c>
      <c r="F28" s="1">
        <v>2.1257000000000002E-2</v>
      </c>
      <c r="G28" s="1">
        <v>1541.8</v>
      </c>
      <c r="H28" s="1">
        <v>9.2257000000000006E-2</v>
      </c>
      <c r="I28">
        <v>1.2336400000000001E-2</v>
      </c>
      <c r="Q28" t="s">
        <v>30</v>
      </c>
      <c r="R28">
        <v>10000</v>
      </c>
      <c r="S28">
        <v>30851</v>
      </c>
      <c r="T28">
        <v>10426</v>
      </c>
      <c r="U28">
        <f>Table3[[#This Row],[Normal Stress]]</f>
        <v>1548.3</v>
      </c>
      <c r="V28" s="3">
        <f>(Table10[[#This Row],[Normal Stress]]-U27)/U27</f>
        <v>0.15484448422465869</v>
      </c>
      <c r="W28">
        <f>Table3[[#This Row],[Normal Elastic Strain]]</f>
        <v>2.1257000000000002E-2</v>
      </c>
      <c r="X28" s="3">
        <f>(Table10[[#This Row],[Normal Elastic Strain]]-W27)/W27</f>
        <v>0.17532898374433264</v>
      </c>
      <c r="Y28">
        <f>Table3[[#This Row],[Equivalent Vons Mises]]</f>
        <v>1541.8</v>
      </c>
      <c r="Z28" s="3">
        <f>(Table10[[#This Row],[Equivalent Vons Mises]]-Y27)/Y27</f>
        <v>0.16608682498865521</v>
      </c>
      <c r="AA28">
        <f>Table3[[#This Row],[Equilavent Elastic Strain]]</f>
        <v>9.2257000000000006E-2</v>
      </c>
      <c r="AB28" s="3">
        <f>(Table10[[#This Row],[Equilavent Elastic Strain]]-AA27)/AA27</f>
        <v>0.12245717344753752</v>
      </c>
      <c r="AC28">
        <f>Table3[[#This Row],[Lateral Deformation]]</f>
        <v>1.2336400000000001E-2</v>
      </c>
      <c r="AD28" s="3">
        <f>(Table10[[#This Row],[Lateral Deformation]]-AC27)/AC27</f>
        <v>-7.4330306895775453E-2</v>
      </c>
    </row>
    <row r="29" spans="1:30" x14ac:dyDescent="0.35">
      <c r="A29" s="1" t="s">
        <v>31</v>
      </c>
      <c r="B29" s="1">
        <v>40000</v>
      </c>
      <c r="C29" s="1">
        <v>121701</v>
      </c>
      <c r="D29" s="1">
        <v>40851</v>
      </c>
      <c r="E29" s="1">
        <v>2075</v>
      </c>
      <c r="F29" s="1">
        <v>2.8733000000000002E-2</v>
      </c>
      <c r="G29" s="1">
        <v>2095.1999999999998</v>
      </c>
      <c r="H29" s="1">
        <v>0.10174999999999999</v>
      </c>
      <c r="I29">
        <v>1.3499000000000001E-2</v>
      </c>
      <c r="Q29" t="s">
        <v>31</v>
      </c>
      <c r="R29">
        <v>40000</v>
      </c>
      <c r="S29">
        <v>121701</v>
      </c>
      <c r="T29">
        <v>40851</v>
      </c>
      <c r="U29">
        <f>Table3[[#This Row],[Normal Stress]]</f>
        <v>2075</v>
      </c>
      <c r="V29" s="3">
        <f>(Table10[[#This Row],[Normal Stress]]-U28)/U28</f>
        <v>0.34017955176645359</v>
      </c>
      <c r="W29">
        <f>Table3[[#This Row],[Normal Elastic Strain]]</f>
        <v>2.8733000000000002E-2</v>
      </c>
      <c r="X29" s="3">
        <f>(Table10[[#This Row],[Normal Elastic Strain]]-W28)/W28</f>
        <v>0.35169591193489202</v>
      </c>
      <c r="Y29">
        <f>Table3[[#This Row],[Equivalent Vons Mises]]</f>
        <v>2095.1999999999998</v>
      </c>
      <c r="Z29" s="3">
        <f>(Table10[[#This Row],[Equivalent Vons Mises]]-Y28)/Y28</f>
        <v>0.35893111947074841</v>
      </c>
      <c r="AA29">
        <f>Table3[[#This Row],[Equilavent Elastic Strain]]</f>
        <v>0.10174999999999999</v>
      </c>
      <c r="AB29" s="3">
        <f>(Table10[[#This Row],[Equilavent Elastic Strain]]-AA28)/AA28</f>
        <v>0.10289734112316666</v>
      </c>
      <c r="AC29">
        <f>Table3[[#This Row],[Lateral Deformation]]</f>
        <v>1.3499000000000001E-2</v>
      </c>
      <c r="AD29" s="3">
        <f>(Table10[[#This Row],[Lateral Deformation]]-AC28)/AC28</f>
        <v>9.424143186018609E-2</v>
      </c>
    </row>
    <row r="65" spans="1:4" x14ac:dyDescent="0.35">
      <c r="A65" s="14" t="s">
        <v>0</v>
      </c>
      <c r="B65" s="15" t="s">
        <v>9</v>
      </c>
      <c r="C65" s="15" t="s">
        <v>1</v>
      </c>
      <c r="D65" s="15" t="s">
        <v>2</v>
      </c>
    </row>
    <row r="66" spans="1:4" x14ac:dyDescent="0.35">
      <c r="A66" s="18" t="s">
        <v>17</v>
      </c>
      <c r="B66" s="19">
        <v>150</v>
      </c>
      <c r="C66" s="19">
        <v>557</v>
      </c>
      <c r="D66" s="19">
        <v>204</v>
      </c>
    </row>
    <row r="67" spans="1:4" x14ac:dyDescent="0.35">
      <c r="A67" s="20" t="s">
        <v>16</v>
      </c>
      <c r="B67" s="17">
        <v>268</v>
      </c>
      <c r="C67" s="17">
        <v>947</v>
      </c>
      <c r="D67" s="17">
        <v>340</v>
      </c>
    </row>
    <row r="68" spans="1:4" x14ac:dyDescent="0.35">
      <c r="A68" s="18" t="s">
        <v>15</v>
      </c>
      <c r="B68" s="19">
        <v>600</v>
      </c>
      <c r="C68" s="19">
        <v>2013</v>
      </c>
      <c r="D68" s="19">
        <v>707</v>
      </c>
    </row>
    <row r="69" spans="1:4" x14ac:dyDescent="0.35">
      <c r="A69" s="20" t="s">
        <v>14</v>
      </c>
      <c r="B69" s="17">
        <v>2600</v>
      </c>
      <c r="C69" s="17">
        <v>8227</v>
      </c>
      <c r="D69" s="17">
        <v>2814</v>
      </c>
    </row>
    <row r="70" spans="1:4" x14ac:dyDescent="0.35">
      <c r="A70" s="1" t="s">
        <v>30</v>
      </c>
      <c r="B70" s="1">
        <v>10000</v>
      </c>
      <c r="C70" s="1">
        <v>30851</v>
      </c>
      <c r="D70" s="1">
        <v>10426</v>
      </c>
    </row>
    <row r="71" spans="1:4" x14ac:dyDescent="0.35">
      <c r="A71" s="1" t="s">
        <v>31</v>
      </c>
      <c r="B71" s="22">
        <v>40000</v>
      </c>
      <c r="C71" s="22">
        <v>121701</v>
      </c>
      <c r="D71" s="22">
        <v>40851</v>
      </c>
    </row>
  </sheetData>
  <pageMargins left="0.7" right="0.7" top="0.75" bottom="0.75" header="0.3" footer="0.3"/>
  <drawing r:id="rId1"/>
  <tableParts count="6">
    <tablePart r:id="rId2"/>
    <tablePart r:id="rId3"/>
    <tablePart r:id="rId4"/>
    <tablePart r:id="rId5"/>
    <tablePart r:id="rId6"/>
    <tablePart r:id="rId7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48BB0-4D59-4A62-B49F-38EB9AD08CB8}">
  <dimension ref="A1:AI69"/>
  <sheetViews>
    <sheetView tabSelected="1" topLeftCell="A35" zoomScale="80" zoomScaleNormal="80" workbookViewId="0">
      <selection activeCell="C72" sqref="C72"/>
    </sheetView>
  </sheetViews>
  <sheetFormatPr defaultRowHeight="14.5" x14ac:dyDescent="0.35"/>
  <cols>
    <col min="1" max="1" width="25.54296875" bestFit="1" customWidth="1"/>
    <col min="2" max="2" width="21" bestFit="1" customWidth="1"/>
    <col min="3" max="3" width="17.54296875" bestFit="1" customWidth="1"/>
    <col min="4" max="4" width="25.90625" bestFit="1" customWidth="1"/>
    <col min="5" max="5" width="26.453125" bestFit="1" customWidth="1"/>
    <col min="6" max="6" width="30.453125" bestFit="1" customWidth="1"/>
    <col min="7" max="7" width="36.81640625" bestFit="1" customWidth="1"/>
    <col min="8" max="8" width="29" bestFit="1" customWidth="1"/>
    <col min="24" max="24" width="17.7265625" bestFit="1" customWidth="1"/>
    <col min="25" max="25" width="14.6328125" bestFit="1" customWidth="1"/>
    <col min="26" max="26" width="12.1796875" bestFit="1" customWidth="1"/>
    <col min="27" max="27" width="18.1796875" bestFit="1" customWidth="1"/>
    <col min="28" max="28" width="18.7265625" bestFit="1" customWidth="1"/>
    <col min="29" max="29" width="14.6328125" style="3" customWidth="1"/>
    <col min="30" max="30" width="21.26953125" bestFit="1" customWidth="1"/>
    <col min="31" max="31" width="23.26953125" style="3" bestFit="1" customWidth="1"/>
    <col min="32" max="32" width="23.54296875" bestFit="1" customWidth="1"/>
    <col min="33" max="33" width="21.26953125" style="3" bestFit="1" customWidth="1"/>
    <col min="34" max="34" width="19" bestFit="1" customWidth="1"/>
    <col min="35" max="35" width="13.54296875" style="3" bestFit="1" customWidth="1"/>
  </cols>
  <sheetData>
    <row r="1" spans="1:35" x14ac:dyDescent="0.35">
      <c r="X1" t="s">
        <v>8</v>
      </c>
    </row>
    <row r="2" spans="1:35" x14ac:dyDescent="0.35">
      <c r="A2" t="s">
        <v>8</v>
      </c>
    </row>
    <row r="3" spans="1:35" x14ac:dyDescent="0.35">
      <c r="X3" s="1" t="s">
        <v>0</v>
      </c>
      <c r="Y3" s="1" t="s">
        <v>9</v>
      </c>
      <c r="Z3" s="1" t="s">
        <v>1</v>
      </c>
      <c r="AA3" s="1" t="s">
        <v>2</v>
      </c>
      <c r="AB3" s="1" t="s">
        <v>3</v>
      </c>
      <c r="AC3" s="4" t="s">
        <v>21</v>
      </c>
      <c r="AD3" s="1" t="s">
        <v>13</v>
      </c>
      <c r="AE3" s="6" t="s">
        <v>22</v>
      </c>
      <c r="AF3" s="1" t="s">
        <v>4</v>
      </c>
      <c r="AG3" s="7" t="s">
        <v>23</v>
      </c>
      <c r="AH3" s="1" t="s">
        <v>12</v>
      </c>
      <c r="AI3" s="8" t="s">
        <v>24</v>
      </c>
    </row>
    <row r="4" spans="1:35" x14ac:dyDescent="0.35">
      <c r="A4" s="1" t="s">
        <v>0</v>
      </c>
      <c r="B4" s="1" t="s">
        <v>9</v>
      </c>
      <c r="C4" s="1" t="s">
        <v>1</v>
      </c>
      <c r="D4" s="1" t="s">
        <v>2</v>
      </c>
      <c r="E4" s="1" t="s">
        <v>3</v>
      </c>
      <c r="F4" s="1" t="s">
        <v>13</v>
      </c>
      <c r="G4" s="1" t="s">
        <v>4</v>
      </c>
      <c r="H4" s="1" t="s">
        <v>12</v>
      </c>
      <c r="X4" s="1"/>
      <c r="Y4" s="1"/>
      <c r="Z4" s="1"/>
      <c r="AA4" s="1"/>
      <c r="AB4" s="1">
        <v>1</v>
      </c>
      <c r="AC4" s="5"/>
      <c r="AD4" s="1">
        <v>1</v>
      </c>
      <c r="AE4" s="5"/>
      <c r="AF4" s="1">
        <v>1</v>
      </c>
      <c r="AG4" s="5"/>
      <c r="AH4" s="1">
        <v>1</v>
      </c>
    </row>
    <row r="5" spans="1:35" x14ac:dyDescent="0.35">
      <c r="A5" s="1"/>
      <c r="B5" s="1"/>
      <c r="C5" s="1"/>
      <c r="D5" s="1"/>
      <c r="E5" s="1">
        <v>0</v>
      </c>
      <c r="F5" s="1">
        <v>0</v>
      </c>
      <c r="G5" s="1">
        <v>0</v>
      </c>
      <c r="H5" s="1">
        <v>0</v>
      </c>
      <c r="X5" s="1" t="s">
        <v>17</v>
      </c>
      <c r="Y5" s="1">
        <v>715</v>
      </c>
      <c r="Z5" s="1">
        <v>2282</v>
      </c>
      <c r="AA5" s="1">
        <v>784</v>
      </c>
      <c r="AB5" s="1">
        <v>2448.8000000000002</v>
      </c>
      <c r="AC5" s="5"/>
      <c r="AD5" s="1">
        <v>4.1890999999999998E-2</v>
      </c>
      <c r="AE5" s="5"/>
      <c r="AF5" s="1">
        <v>2445.6</v>
      </c>
      <c r="AG5" s="5"/>
      <c r="AH5" s="1">
        <v>1233.8</v>
      </c>
    </row>
    <row r="6" spans="1:35" x14ac:dyDescent="0.35">
      <c r="A6" s="1" t="s">
        <v>17</v>
      </c>
      <c r="B6" s="1">
        <v>715</v>
      </c>
      <c r="C6" s="1">
        <v>2282</v>
      </c>
      <c r="D6" s="1">
        <v>784</v>
      </c>
      <c r="E6" s="1">
        <v>2448.8000000000002</v>
      </c>
      <c r="F6" s="1">
        <v>4.1890999999999998E-2</v>
      </c>
      <c r="G6" s="1">
        <v>2445.6</v>
      </c>
      <c r="H6" s="1">
        <v>1233.8</v>
      </c>
      <c r="X6" s="1" t="s">
        <v>16</v>
      </c>
      <c r="Y6" s="1">
        <v>1241</v>
      </c>
      <c r="Z6" s="1">
        <v>3904</v>
      </c>
      <c r="AA6" s="1">
        <v>1332</v>
      </c>
      <c r="AB6" s="1">
        <v>2505.6</v>
      </c>
      <c r="AC6" s="5">
        <f>(((Table7[[#This Row],[Normal Stress]]-AB5)/AB5)+((Table7[[#This Row],[Normal Stress]]-AB5)/Table7[[#This Row],[Normal Stress]]))/2</f>
        <v>2.2932127623799155E-2</v>
      </c>
      <c r="AD6" s="1">
        <v>4.2458999999999997E-2</v>
      </c>
      <c r="AE6" s="5">
        <f>(((Table7[[#This Row],[Equivalent Strain]]-AD5)/AD5)+((Table7[[#This Row],[Equivalent Strain]]-AD5)/Table7[[#This Row],[Equivalent Strain]]))/2</f>
        <v>1.3468304847787599E-2</v>
      </c>
      <c r="AF6" s="1">
        <v>2501.5</v>
      </c>
      <c r="AG6" s="5">
        <f>(((Table7[[#This Row],[Equivalent Vons Mises]]-AF5)/AF5)+((Table7[[#This Row],[Equivalent Vons Mises]]-AF5)/Table7[[#This Row],[Equivalent Vons Mises]]))/2</f>
        <v>2.2601984278847187E-2</v>
      </c>
      <c r="AH6" s="1">
        <v>1261</v>
      </c>
      <c r="AI6" s="3">
        <f>(((Table7[[#This Row],[Maximum Shear]]-AH5)/AH5)+((Table7[[#This Row],[Maximum Shear]]-AH5)/Table7[[#This Row],[Maximum Shear]]))/2</f>
        <v>2.1807947414029073E-2</v>
      </c>
    </row>
    <row r="7" spans="1:35" x14ac:dyDescent="0.35">
      <c r="A7" s="1" t="s">
        <v>16</v>
      </c>
      <c r="B7" s="1">
        <v>1241</v>
      </c>
      <c r="C7" s="1">
        <v>3904</v>
      </c>
      <c r="D7" s="1">
        <v>1332</v>
      </c>
      <c r="E7" s="1">
        <v>2505.6</v>
      </c>
      <c r="F7" s="1">
        <v>4.2458999999999997E-2</v>
      </c>
      <c r="G7" s="1">
        <v>2501.5</v>
      </c>
      <c r="H7" s="1">
        <v>1261</v>
      </c>
      <c r="X7" s="1" t="s">
        <v>15</v>
      </c>
      <c r="Y7" s="1">
        <v>2750</v>
      </c>
      <c r="Z7" s="1">
        <v>8521</v>
      </c>
      <c r="AA7" s="1">
        <v>2886</v>
      </c>
      <c r="AB7" s="1">
        <v>2469.4</v>
      </c>
      <c r="AC7" s="5">
        <f>(((Table7[[#This Row],[Normal Stress]]-AB6)/AB6)+((Table7[[#This Row],[Normal Stress]]-AB6)/Table7[[#This Row],[Normal Stress]]))/2</f>
        <v>-1.4553534366650281E-2</v>
      </c>
      <c r="AD7" s="1">
        <v>4.0788999999999999E-2</v>
      </c>
      <c r="AE7" s="5">
        <f>(((Table7[[#This Row],[Equivalent Strain]]-AD6)/AD6)+((Table7[[#This Row],[Equivalent Strain]]-AD6)/Table7[[#This Row],[Equivalent Strain]]))/2</f>
        <v>-4.0137236231148732E-2</v>
      </c>
      <c r="AF7" s="1">
        <v>2449.6</v>
      </c>
      <c r="AG7" s="5">
        <f>(((Table7[[#This Row],[Equivalent Vons Mises]]-AF6)/AF6)+((Table7[[#This Row],[Equivalent Vons Mises]]-AF6)/Table7[[#This Row],[Equivalent Vons Mises]]))/2</f>
        <v>-2.0967342031097513E-2</v>
      </c>
      <c r="AH7" s="1">
        <v>1234.4000000000001</v>
      </c>
      <c r="AI7" s="3">
        <f>(((Table7[[#This Row],[Maximum Shear]]-AH6)/AH6)+((Table7[[#This Row],[Maximum Shear]]-AH6)/Table7[[#This Row],[Maximum Shear]]))/2</f>
        <v>-2.1321650101273334E-2</v>
      </c>
    </row>
    <row r="8" spans="1:35" x14ac:dyDescent="0.35">
      <c r="A8" s="1" t="s">
        <v>15</v>
      </c>
      <c r="B8" s="1">
        <v>2750</v>
      </c>
      <c r="C8" s="1">
        <v>8521</v>
      </c>
      <c r="D8" s="1">
        <v>2886</v>
      </c>
      <c r="E8" s="1">
        <v>2469.4</v>
      </c>
      <c r="F8" s="1">
        <v>4.0788999999999999E-2</v>
      </c>
      <c r="G8" s="1">
        <v>2449.6</v>
      </c>
      <c r="H8" s="1">
        <v>1234.4000000000001</v>
      </c>
      <c r="X8" s="1" t="s">
        <v>14</v>
      </c>
      <c r="Y8" s="1">
        <v>11000</v>
      </c>
      <c r="Z8" s="1">
        <v>33541</v>
      </c>
      <c r="AA8" s="1">
        <v>11271</v>
      </c>
      <c r="AB8" s="1">
        <v>2526.1</v>
      </c>
      <c r="AC8" s="5">
        <f>(((Table7[[#This Row],[Normal Stress]]-AB7)/AB7)+((Table7[[#This Row],[Normal Stress]]-AB7)/Table7[[#This Row],[Normal Stress]]))/2</f>
        <v>2.2703355201228542E-2</v>
      </c>
      <c r="AD8" s="1">
        <v>4.1619000000000003E-2</v>
      </c>
      <c r="AE8" s="5">
        <f>(((Table7[[#This Row],[Equivalent Strain]]-AD7)/AD7)+((Table7[[#This Row],[Equivalent Strain]]-AD7)/Table7[[#This Row],[Equivalent Strain]]))/2</f>
        <v>2.0145718991624074E-2</v>
      </c>
      <c r="AF8" s="1">
        <v>2532.4</v>
      </c>
      <c r="AG8" s="5">
        <f>(((Table7[[#This Row],[Equivalent Vons Mises]]-AF7)/AF7)+((Table7[[#This Row],[Equivalent Vons Mises]]-AF7)/Table7[[#This Row],[Equivalent Vons Mises]]))/2</f>
        <v>3.3248846742429811E-2</v>
      </c>
      <c r="AH8" s="1">
        <v>1267.7</v>
      </c>
      <c r="AI8" s="3">
        <f>(((Table7[[#This Row],[Maximum Shear]]-AH7)/AH7)+((Table7[[#This Row],[Maximum Shear]]-AH7)/Table7[[#This Row],[Maximum Shear]]))/2</f>
        <v>2.6622356658490845E-2</v>
      </c>
    </row>
    <row r="9" spans="1:35" x14ac:dyDescent="0.35">
      <c r="A9" s="1" t="s">
        <v>14</v>
      </c>
      <c r="B9" s="1">
        <v>11000</v>
      </c>
      <c r="C9" s="1">
        <v>33541</v>
      </c>
      <c r="D9" s="1">
        <v>11271</v>
      </c>
      <c r="E9" s="1">
        <v>2526.1</v>
      </c>
      <c r="F9" s="1">
        <v>4.1619000000000003E-2</v>
      </c>
      <c r="G9" s="1">
        <v>2532.4</v>
      </c>
      <c r="H9" s="1">
        <v>1267.7</v>
      </c>
    </row>
    <row r="10" spans="1:35" x14ac:dyDescent="0.35">
      <c r="X10" t="s">
        <v>11</v>
      </c>
    </row>
    <row r="11" spans="1:35" x14ac:dyDescent="0.35">
      <c r="A11" t="s">
        <v>11</v>
      </c>
    </row>
    <row r="12" spans="1:35" x14ac:dyDescent="0.35">
      <c r="X12" s="1" t="s">
        <v>0</v>
      </c>
      <c r="Y12" s="1" t="s">
        <v>9</v>
      </c>
      <c r="Z12" s="1" t="s">
        <v>1</v>
      </c>
      <c r="AA12" s="1" t="s">
        <v>2</v>
      </c>
      <c r="AB12" s="1" t="s">
        <v>3</v>
      </c>
      <c r="AC12" s="4" t="s">
        <v>21</v>
      </c>
      <c r="AD12" s="1" t="s">
        <v>13</v>
      </c>
      <c r="AE12" s="6" t="s">
        <v>22</v>
      </c>
      <c r="AF12" s="1" t="s">
        <v>4</v>
      </c>
      <c r="AG12" s="7" t="s">
        <v>23</v>
      </c>
      <c r="AH12" s="1" t="s">
        <v>12</v>
      </c>
      <c r="AI12" s="8" t="s">
        <v>24</v>
      </c>
    </row>
    <row r="13" spans="1:35" x14ac:dyDescent="0.35">
      <c r="A13" s="1" t="s">
        <v>0</v>
      </c>
      <c r="B13" s="1" t="s">
        <v>9</v>
      </c>
      <c r="C13" s="1" t="s">
        <v>1</v>
      </c>
      <c r="D13" s="1" t="s">
        <v>2</v>
      </c>
      <c r="E13" s="1" t="s">
        <v>3</v>
      </c>
      <c r="F13" s="1" t="s">
        <v>13</v>
      </c>
      <c r="G13" s="1" t="s">
        <v>4</v>
      </c>
      <c r="H13" s="1" t="s">
        <v>12</v>
      </c>
      <c r="X13" s="1" t="s">
        <v>20</v>
      </c>
      <c r="Y13" s="1"/>
      <c r="Z13" s="1"/>
      <c r="AA13" s="1"/>
      <c r="AB13" s="1">
        <v>1</v>
      </c>
      <c r="AC13" s="5"/>
      <c r="AD13" s="1">
        <v>1</v>
      </c>
      <c r="AE13" s="5"/>
      <c r="AF13" s="1">
        <v>1</v>
      </c>
      <c r="AG13" s="5"/>
      <c r="AH13" s="1">
        <v>1</v>
      </c>
    </row>
    <row r="14" spans="1:35" x14ac:dyDescent="0.35">
      <c r="A14" s="1" t="s">
        <v>20</v>
      </c>
      <c r="B14" s="1"/>
      <c r="C14" s="1"/>
      <c r="D14" s="1"/>
      <c r="E14" s="1">
        <v>0</v>
      </c>
      <c r="F14" s="1">
        <v>0</v>
      </c>
      <c r="G14" s="1">
        <v>0</v>
      </c>
      <c r="H14" s="1">
        <v>0</v>
      </c>
      <c r="X14" s="1" t="s">
        <v>17</v>
      </c>
      <c r="Y14" s="1">
        <v>715</v>
      </c>
      <c r="Z14" s="1">
        <v>2282</v>
      </c>
      <c r="AA14" s="1">
        <v>784</v>
      </c>
      <c r="AB14" s="1">
        <v>1480.1</v>
      </c>
      <c r="AC14" s="5"/>
      <c r="AD14" s="1">
        <v>2.5506000000000001E-2</v>
      </c>
      <c r="AE14" s="5"/>
      <c r="AF14" s="1">
        <v>1473.3</v>
      </c>
      <c r="AG14" s="5"/>
      <c r="AH14" s="1">
        <v>742.72</v>
      </c>
    </row>
    <row r="15" spans="1:35" x14ac:dyDescent="0.35">
      <c r="A15" s="1" t="s">
        <v>17</v>
      </c>
      <c r="B15" s="1">
        <v>715</v>
      </c>
      <c r="C15" s="1">
        <v>2282</v>
      </c>
      <c r="D15" s="1">
        <v>784</v>
      </c>
      <c r="E15" s="1">
        <v>1480.1</v>
      </c>
      <c r="F15" s="1">
        <v>2.5506000000000001E-2</v>
      </c>
      <c r="G15" s="1">
        <v>1473.3</v>
      </c>
      <c r="H15" s="1">
        <v>742.72</v>
      </c>
      <c r="X15" s="1" t="s">
        <v>16</v>
      </c>
      <c r="Y15" s="1">
        <v>1241</v>
      </c>
      <c r="Z15" s="1">
        <v>3904</v>
      </c>
      <c r="AA15" s="1">
        <v>1332</v>
      </c>
      <c r="AB15" s="1">
        <v>1501.1</v>
      </c>
      <c r="AC15" s="5">
        <f>(((Table8[[#This Row],[Normal Stress]]-AB14)/AB14)+((Table8[[#This Row],[Normal Stress]]-AB14)/Table8[[#This Row],[Normal Stress]]))/2</f>
        <v>1.4088985690834808E-2</v>
      </c>
      <c r="AD15" s="1">
        <v>2.5725000000000001E-2</v>
      </c>
      <c r="AE15" s="5">
        <f>(((Table8[[#This Row],[Equivalent Strain]]-AD14)/AD14)+((Table8[[#This Row],[Equivalent Strain]]-AD14)/Table8[[#This Row],[Equivalent Strain]]))/2</f>
        <v>8.5496672708805441E-3</v>
      </c>
      <c r="AF15" s="1">
        <v>1495.7</v>
      </c>
      <c r="AG15" s="5">
        <f>(((Table8[[#This Row],[Equivalent Vons Mises]]-AF14)/AF14)+((Table8[[#This Row],[Equivalent Vons Mises]]-AF14)/Table8[[#This Row],[Equivalent Vons Mises]]))/2</f>
        <v>1.5090114592214115E-2</v>
      </c>
      <c r="AH15" s="1">
        <v>753.7</v>
      </c>
      <c r="AI15" s="3">
        <f>(((Table8[[#This Row],[Maximum Shear]]-AH14)/AH14)+((Table8[[#This Row],[Maximum Shear]]-AH14)/Table8[[#This Row],[Maximum Shear]]))/2</f>
        <v>1.4675814523976725E-2</v>
      </c>
    </row>
    <row r="16" spans="1:35" x14ac:dyDescent="0.35">
      <c r="A16" s="1" t="s">
        <v>16</v>
      </c>
      <c r="B16" s="1">
        <v>1241</v>
      </c>
      <c r="C16" s="1">
        <v>3904</v>
      </c>
      <c r="D16" s="1">
        <v>1332</v>
      </c>
      <c r="E16" s="1">
        <v>1501.1</v>
      </c>
      <c r="F16" s="1">
        <v>2.5725000000000001E-2</v>
      </c>
      <c r="G16" s="1">
        <v>1495.7</v>
      </c>
      <c r="H16" s="1">
        <v>753.7</v>
      </c>
      <c r="X16" s="1" t="s">
        <v>15</v>
      </c>
      <c r="Y16" s="1">
        <v>2750</v>
      </c>
      <c r="Z16" s="1">
        <v>8521</v>
      </c>
      <c r="AA16" s="1">
        <v>2886</v>
      </c>
      <c r="AB16" s="1">
        <v>1510</v>
      </c>
      <c r="AC16" s="5">
        <f>(((Table8[[#This Row],[Normal Stress]]-AB15)/AB15)+((Table8[[#This Row],[Normal Stress]]-AB15)/Table8[[#This Row],[Normal Stress]]))/2</f>
        <v>5.9115125728991403E-3</v>
      </c>
      <c r="AD16" s="1">
        <v>2.4947E-2</v>
      </c>
      <c r="AE16" s="5">
        <f>(((Table8[[#This Row],[Equivalent Strain]]-AD15)/AD15)+((Table8[[#This Row],[Equivalent Strain]]-AD15)/Table8[[#This Row],[Equivalent Strain]]))/2</f>
        <v>-3.0714534443730172E-2</v>
      </c>
      <c r="AF16" s="1">
        <v>1515.1</v>
      </c>
      <c r="AG16" s="5">
        <f>(((Table8[[#This Row],[Equivalent Vons Mises]]-AF15)/AF15)+((Table8[[#This Row],[Equivalent Vons Mises]]-AF15)/Table8[[#This Row],[Equivalent Vons Mises]]))/2</f>
        <v>1.2887475414252248E-2</v>
      </c>
      <c r="AH16" s="1">
        <v>758.99</v>
      </c>
      <c r="AI16" s="3">
        <f>(((Table8[[#This Row],[Maximum Shear]]-AH15)/AH15)+((Table8[[#This Row],[Maximum Shear]]-AH15)/Table8[[#This Row],[Maximum Shear]]))/2</f>
        <v>6.9942482534543398E-3</v>
      </c>
    </row>
    <row r="17" spans="1:35" x14ac:dyDescent="0.35">
      <c r="A17" s="1" t="s">
        <v>15</v>
      </c>
      <c r="B17" s="1">
        <v>2750</v>
      </c>
      <c r="C17" s="1">
        <v>8521</v>
      </c>
      <c r="D17" s="1">
        <v>2886</v>
      </c>
      <c r="E17" s="1">
        <v>1510</v>
      </c>
      <c r="F17" s="1">
        <v>2.4947E-2</v>
      </c>
      <c r="G17" s="1">
        <v>1515.1</v>
      </c>
      <c r="H17" s="1">
        <v>758.99</v>
      </c>
      <c r="X17" s="1" t="s">
        <v>14</v>
      </c>
      <c r="Y17" s="1">
        <v>11000</v>
      </c>
      <c r="Z17" s="1">
        <v>33541</v>
      </c>
      <c r="AA17" s="1">
        <v>11271</v>
      </c>
      <c r="AB17" s="1">
        <v>1519.1</v>
      </c>
      <c r="AC17" s="5">
        <f>(((Table8[[#This Row],[Normal Stress]]-AB16)/AB16)+((Table8[[#This Row],[Normal Stress]]-AB16)/Table8[[#This Row],[Normal Stress]]))/2</f>
        <v>6.0084395561853954E-3</v>
      </c>
      <c r="AD17" s="1">
        <v>2.5235E-2</v>
      </c>
      <c r="AE17" s="5">
        <f>(((Table8[[#This Row],[Equivalent Strain]]-AD16)/AD16)+((Table8[[#This Row],[Equivalent Strain]]-AD16)/Table8[[#This Row],[Equivalent Strain]]))/2</f>
        <v>1.1478597356731124E-2</v>
      </c>
      <c r="AF17" s="1">
        <v>1557.3</v>
      </c>
      <c r="AG17" s="5">
        <f>(((Table8[[#This Row],[Equivalent Vons Mises]]-AF16)/AF16)+((Table8[[#This Row],[Equivalent Vons Mises]]-AF16)/Table8[[#This Row],[Equivalent Vons Mises]]))/2</f>
        <v>2.7475564876198694E-2</v>
      </c>
      <c r="AH17" s="1">
        <v>782.38</v>
      </c>
      <c r="AI17" s="3">
        <f>(((Table8[[#This Row],[Maximum Shear]]-AH16)/AH16)+((Table8[[#This Row],[Maximum Shear]]-AH16)/Table8[[#This Row],[Maximum Shear]]))/2</f>
        <v>3.0356614402706691E-2</v>
      </c>
    </row>
    <row r="18" spans="1:35" x14ac:dyDescent="0.35">
      <c r="A18" s="1" t="s">
        <v>14</v>
      </c>
      <c r="B18" s="1">
        <v>11000</v>
      </c>
      <c r="C18" s="1">
        <v>33541</v>
      </c>
      <c r="D18" s="1">
        <v>11271</v>
      </c>
      <c r="E18" s="1">
        <v>1519.1</v>
      </c>
      <c r="F18" s="1">
        <v>2.5235E-2</v>
      </c>
      <c r="G18" s="1">
        <v>1557.3</v>
      </c>
      <c r="H18" s="1">
        <v>782.38</v>
      </c>
    </row>
    <row r="19" spans="1:35" x14ac:dyDescent="0.35">
      <c r="X19" t="s">
        <v>10</v>
      </c>
    </row>
    <row r="20" spans="1:35" x14ac:dyDescent="0.35">
      <c r="A20" t="s">
        <v>10</v>
      </c>
    </row>
    <row r="21" spans="1:35" x14ac:dyDescent="0.35">
      <c r="X21" s="1" t="s">
        <v>0</v>
      </c>
      <c r="Y21" s="1" t="s">
        <v>9</v>
      </c>
      <c r="Z21" s="1" t="s">
        <v>1</v>
      </c>
      <c r="AA21" s="1" t="s">
        <v>2</v>
      </c>
      <c r="AB21" s="1" t="s">
        <v>3</v>
      </c>
      <c r="AC21" s="4" t="s">
        <v>21</v>
      </c>
      <c r="AD21" s="1" t="s">
        <v>13</v>
      </c>
      <c r="AE21" s="6" t="s">
        <v>22</v>
      </c>
      <c r="AF21" s="1" t="s">
        <v>4</v>
      </c>
      <c r="AG21" s="7" t="s">
        <v>23</v>
      </c>
      <c r="AH21" s="1" t="s">
        <v>12</v>
      </c>
      <c r="AI21" s="8" t="s">
        <v>24</v>
      </c>
    </row>
    <row r="22" spans="1:35" x14ac:dyDescent="0.35">
      <c r="A22" s="1" t="s">
        <v>0</v>
      </c>
      <c r="B22" s="1" t="s">
        <v>9</v>
      </c>
      <c r="C22" s="1" t="s">
        <v>1</v>
      </c>
      <c r="D22" s="1" t="s">
        <v>2</v>
      </c>
      <c r="E22" s="1" t="s">
        <v>3</v>
      </c>
      <c r="F22" s="1" t="s">
        <v>13</v>
      </c>
      <c r="G22" s="1" t="s">
        <v>4</v>
      </c>
      <c r="H22" s="1" t="s">
        <v>12</v>
      </c>
      <c r="X22" s="1"/>
      <c r="Y22" s="1"/>
      <c r="Z22" s="1"/>
      <c r="AA22" s="1"/>
      <c r="AB22" s="1">
        <v>1</v>
      </c>
      <c r="AC22" s="5"/>
      <c r="AD22" s="1">
        <v>1</v>
      </c>
      <c r="AE22" s="5"/>
      <c r="AF22" s="1">
        <v>1</v>
      </c>
      <c r="AG22" s="5"/>
      <c r="AH22" s="1">
        <v>1</v>
      </c>
    </row>
    <row r="23" spans="1:35" x14ac:dyDescent="0.35">
      <c r="A23" s="1"/>
      <c r="B23" s="1"/>
      <c r="C23" s="1"/>
      <c r="D23" s="1"/>
      <c r="E23" s="1">
        <v>0</v>
      </c>
      <c r="F23" s="1">
        <v>0</v>
      </c>
      <c r="G23" s="1">
        <v>0</v>
      </c>
      <c r="H23" s="1">
        <v>0</v>
      </c>
      <c r="X23" s="1" t="s">
        <v>17</v>
      </c>
      <c r="Y23" s="1">
        <v>715</v>
      </c>
      <c r="Z23" s="1">
        <v>2282</v>
      </c>
      <c r="AA23" s="1">
        <v>784</v>
      </c>
      <c r="AB23" s="1">
        <v>880.88</v>
      </c>
      <c r="AC23" s="5"/>
      <c r="AD23" s="1">
        <v>1.5417E-2</v>
      </c>
      <c r="AE23" s="5"/>
      <c r="AF23" s="1">
        <v>872.71</v>
      </c>
      <c r="AG23" s="5"/>
      <c r="AH23" s="1">
        <v>440.39</v>
      </c>
    </row>
    <row r="24" spans="1:35" x14ac:dyDescent="0.35">
      <c r="A24" s="1" t="s">
        <v>17</v>
      </c>
      <c r="B24" s="1">
        <v>715</v>
      </c>
      <c r="C24" s="1">
        <v>2282</v>
      </c>
      <c r="D24" s="1">
        <v>784</v>
      </c>
      <c r="E24" s="1">
        <v>880.88</v>
      </c>
      <c r="F24" s="1">
        <v>1.5417E-2</v>
      </c>
      <c r="G24" s="1">
        <v>872.71</v>
      </c>
      <c r="H24" s="1">
        <v>440.39</v>
      </c>
      <c r="X24" s="1" t="s">
        <v>16</v>
      </c>
      <c r="Y24" s="1">
        <v>1241</v>
      </c>
      <c r="Z24" s="1">
        <v>3904</v>
      </c>
      <c r="AA24" s="1">
        <v>1332</v>
      </c>
      <c r="AB24" s="1">
        <v>891.13</v>
      </c>
      <c r="AC24" s="5">
        <f>(((Table9[[#This Row],[Normal Stress]]-AB23)/AB23)+((Table9[[#This Row],[Normal Stress]]-AB23)/Table9[[#This Row],[Normal Stress]]))/2</f>
        <v>1.1569170566926735E-2</v>
      </c>
      <c r="AD24" s="1">
        <v>1.5665999999999999E-2</v>
      </c>
      <c r="AE24" s="5">
        <f>(((Table9[[#This Row],[Equivalent Strain]]-AD23)/AD23)+((Table9[[#This Row],[Equivalent Strain]]-AD23)/Table9[[#This Row],[Equivalent Strain]]))/2</f>
        <v>1.6022647757340146E-2</v>
      </c>
      <c r="AF24" s="1">
        <v>883.29</v>
      </c>
      <c r="AG24" s="5">
        <f>(((Table9[[#This Row],[Equivalent Vons Mises]]-AF23)/AF23)+((Table9[[#This Row],[Equivalent Vons Mises]]-AF23)/Table9[[#This Row],[Equivalent Vons Mises]]))/2</f>
        <v>1.2050551346031127E-2</v>
      </c>
      <c r="AH24" s="1">
        <v>445.51</v>
      </c>
      <c r="AI24" s="3">
        <f>(((Table9[[#This Row],[Maximum Shear]]-AH23)/AH23)+((Table9[[#This Row],[Maximum Shear]]-AH23)/Table9[[#This Row],[Maximum Shear]]))/2</f>
        <v>1.1559252789667896E-2</v>
      </c>
    </row>
    <row r="25" spans="1:35" x14ac:dyDescent="0.35">
      <c r="A25" s="1" t="s">
        <v>16</v>
      </c>
      <c r="B25" s="1">
        <v>1241</v>
      </c>
      <c r="C25" s="1">
        <v>3904</v>
      </c>
      <c r="D25" s="1">
        <v>1332</v>
      </c>
      <c r="E25" s="1">
        <v>891.13</v>
      </c>
      <c r="F25" s="1">
        <v>1.5665999999999999E-2</v>
      </c>
      <c r="G25" s="1">
        <v>883.29</v>
      </c>
      <c r="H25" s="1">
        <v>445.51</v>
      </c>
      <c r="X25" s="1" t="s">
        <v>15</v>
      </c>
      <c r="Y25" s="1">
        <v>2750</v>
      </c>
      <c r="Z25" s="1">
        <v>8521</v>
      </c>
      <c r="AA25" s="1">
        <v>2886</v>
      </c>
      <c r="AB25" s="1">
        <v>902.69</v>
      </c>
      <c r="AC25" s="5">
        <f>(((Table9[[#This Row],[Normal Stress]]-AB24)/AB24)+((Table9[[#This Row],[Normal Stress]]-AB24)/Table9[[#This Row],[Normal Stress]]))/2</f>
        <v>1.2889230917630091E-2</v>
      </c>
      <c r="AD25" s="1">
        <v>1.4917E-2</v>
      </c>
      <c r="AE25" s="5">
        <f>(((Table9[[#This Row],[Equivalent Strain]]-AD24)/AD24)+((Table9[[#This Row],[Equivalent Strain]]-AD24)/Table9[[#This Row],[Equivalent Strain]]))/2</f>
        <v>-4.901085679754455E-2</v>
      </c>
      <c r="AF25" s="1">
        <v>918</v>
      </c>
      <c r="AG25" s="5">
        <f>(((Table9[[#This Row],[Equivalent Vons Mises]]-AF24)/AF24)+((Table9[[#This Row],[Equivalent Vons Mises]]-AF24)/Table9[[#This Row],[Equivalent Vons Mises]]))/2</f>
        <v>3.8553362440199662E-2</v>
      </c>
      <c r="AH25" s="1">
        <v>475.91</v>
      </c>
      <c r="AI25" s="3">
        <f>(((Table9[[#This Row],[Maximum Shear]]-AH24)/AH24)+((Table9[[#This Row],[Maximum Shear]]-AH24)/Table9[[#This Row],[Maximum Shear]]))/2</f>
        <v>6.6057013571880763E-2</v>
      </c>
    </row>
    <row r="26" spans="1:35" x14ac:dyDescent="0.35">
      <c r="A26" s="1" t="s">
        <v>15</v>
      </c>
      <c r="B26" s="1">
        <v>2750</v>
      </c>
      <c r="C26" s="1">
        <v>8521</v>
      </c>
      <c r="D26" s="1">
        <v>2886</v>
      </c>
      <c r="E26" s="1">
        <v>902.69</v>
      </c>
      <c r="F26" s="1">
        <v>1.4917E-2</v>
      </c>
      <c r="G26" s="1">
        <v>918</v>
      </c>
      <c r="H26" s="1">
        <v>475.91</v>
      </c>
      <c r="X26" s="1" t="s">
        <v>14</v>
      </c>
      <c r="Y26" s="1">
        <v>11000</v>
      </c>
      <c r="Z26" s="1">
        <v>33541</v>
      </c>
      <c r="AA26" s="1">
        <v>11271</v>
      </c>
      <c r="AB26" s="1">
        <v>900.16</v>
      </c>
      <c r="AC26" s="5">
        <f>(((Table9[[#This Row],[Normal Stress]]-AB25)/AB25)+((Table9[[#This Row],[Normal Stress]]-AB25)/Table9[[#This Row],[Normal Stress]]))/2</f>
        <v>-2.806672748651649E-3</v>
      </c>
      <c r="AD26" s="1">
        <v>1.5273999999999999E-2</v>
      </c>
      <c r="AE26" s="5">
        <f>(((Table9[[#This Row],[Equivalent Strain]]-AD25)/AD25)+((Table9[[#This Row],[Equivalent Strain]]-AD25)/Table9[[#This Row],[Equivalent Strain]]))/2</f>
        <v>2.365273916834161E-2</v>
      </c>
      <c r="AF26" s="1">
        <v>944.2</v>
      </c>
      <c r="AG26" s="5">
        <f>(((Table9[[#This Row],[Equivalent Vons Mises]]-AF25)/AF25)+((Table9[[#This Row],[Equivalent Vons Mises]]-AF25)/Table9[[#This Row],[Equivalent Vons Mises]]))/2</f>
        <v>2.8144331704768849E-2</v>
      </c>
      <c r="AH26" s="1">
        <v>459.12</v>
      </c>
      <c r="AI26" s="3">
        <f>(((Table9[[#This Row],[Maximum Shear]]-AH25)/AH25)+((Table9[[#This Row],[Maximum Shear]]-AH25)/Table9[[#This Row],[Maximum Shear]]))/2</f>
        <v>-3.5924869856814076E-2</v>
      </c>
    </row>
    <row r="27" spans="1:35" x14ac:dyDescent="0.35">
      <c r="A27" s="1" t="s">
        <v>14</v>
      </c>
      <c r="B27" s="1">
        <v>11000</v>
      </c>
      <c r="C27" s="1">
        <v>33541</v>
      </c>
      <c r="D27" s="1">
        <v>11271</v>
      </c>
      <c r="E27" s="1">
        <v>900.16</v>
      </c>
      <c r="F27" s="1">
        <v>1.5273999999999999E-2</v>
      </c>
      <c r="G27" s="1">
        <v>944.2</v>
      </c>
      <c r="H27" s="1">
        <v>459.12</v>
      </c>
    </row>
    <row r="65" spans="1:4" x14ac:dyDescent="0.35">
      <c r="A65" s="14" t="s">
        <v>0</v>
      </c>
      <c r="B65" s="15" t="s">
        <v>9</v>
      </c>
      <c r="C65" s="15" t="s">
        <v>1</v>
      </c>
      <c r="D65" s="15" t="s">
        <v>2</v>
      </c>
    </row>
    <row r="66" spans="1:4" x14ac:dyDescent="0.35">
      <c r="A66" s="21" t="s">
        <v>17</v>
      </c>
      <c r="B66" s="19">
        <v>715</v>
      </c>
      <c r="C66" s="19">
        <v>2282</v>
      </c>
      <c r="D66" s="19">
        <v>784</v>
      </c>
    </row>
    <row r="67" spans="1:4" x14ac:dyDescent="0.35">
      <c r="A67" s="16" t="s">
        <v>16</v>
      </c>
      <c r="B67" s="17">
        <v>1241</v>
      </c>
      <c r="C67" s="17">
        <v>3904</v>
      </c>
      <c r="D67" s="17">
        <v>1332</v>
      </c>
    </row>
    <row r="68" spans="1:4" x14ac:dyDescent="0.35">
      <c r="A68" s="21" t="s">
        <v>15</v>
      </c>
      <c r="B68" s="19">
        <v>2750</v>
      </c>
      <c r="C68" s="19">
        <v>8521</v>
      </c>
      <c r="D68" s="19">
        <v>2886</v>
      </c>
    </row>
    <row r="69" spans="1:4" x14ac:dyDescent="0.35">
      <c r="A69" s="16" t="s">
        <v>14</v>
      </c>
      <c r="B69" s="17">
        <v>11000</v>
      </c>
      <c r="C69" s="17">
        <v>33541</v>
      </c>
      <c r="D69" s="17">
        <v>11271</v>
      </c>
    </row>
  </sheetData>
  <pageMargins left="0.7" right="0.7" top="0.75" bottom="0.75" header="0.3" footer="0.3"/>
  <drawing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Tensile</vt:lpstr>
      <vt:lpstr>Flexural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Pitso Taele</dc:creator>
  <cp:lastModifiedBy>Pitso Taele</cp:lastModifiedBy>
  <dcterms:created xsi:type="dcterms:W3CDTF">2024-11-17T19:17:42Z</dcterms:created>
  <dcterms:modified xsi:type="dcterms:W3CDTF">2024-11-28T11:44:20Z</dcterms:modified>
</cp:coreProperties>
</file>