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dmin thesis data sorted\Static Adhesion Biofouling Tests\"/>
    </mc:Choice>
  </mc:AlternateContent>
  <xr:revisionPtr revIDLastSave="0" documentId="13_ncr:1_{6F692803-894A-42E0-B456-2B13C0C458FD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Unmodified Membrane" sheetId="4" r:id="rId1"/>
    <sheet name=" Modified Membranes" sheetId="12" r:id="rId2"/>
    <sheet name="Optical Density" sheetId="1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2" l="1"/>
  <c r="G7" i="12"/>
  <c r="F9" i="12"/>
  <c r="G9" i="12"/>
  <c r="F10" i="12"/>
  <c r="G10" i="12"/>
  <c r="G11" i="12"/>
  <c r="D59" i="12"/>
  <c r="K60" i="12"/>
  <c r="F17" i="12"/>
  <c r="G17" i="12"/>
  <c r="F19" i="12"/>
  <c r="G19" i="12"/>
  <c r="F20" i="12"/>
  <c r="G20" i="12"/>
  <c r="F21" i="12"/>
  <c r="G21" i="12"/>
  <c r="F22" i="12"/>
  <c r="G22" i="12"/>
  <c r="G23" i="12"/>
  <c r="D60" i="12"/>
  <c r="L60" i="12"/>
  <c r="M60" i="12"/>
  <c r="AA39" i="12"/>
  <c r="AB39" i="12"/>
  <c r="AC39" i="12"/>
  <c r="AA40" i="12"/>
  <c r="AB40" i="12"/>
  <c r="AC40" i="12"/>
  <c r="AC41" i="12"/>
  <c r="AB97" i="12"/>
  <c r="AC54" i="12"/>
  <c r="AC56" i="12"/>
  <c r="AC57" i="12"/>
  <c r="AC97" i="12"/>
  <c r="AD97" i="12"/>
  <c r="AB101" i="12"/>
  <c r="AC101" i="12"/>
  <c r="AD101" i="12"/>
  <c r="AB107" i="12"/>
  <c r="AB108" i="12"/>
  <c r="AB109" i="12"/>
  <c r="AC107" i="12"/>
  <c r="AC108" i="12"/>
  <c r="AC109" i="12"/>
  <c r="AB98" i="12"/>
  <c r="AC66" i="12"/>
  <c r="AC68" i="12"/>
  <c r="AC69" i="12"/>
  <c r="AC98" i="12"/>
  <c r="AD98" i="12"/>
  <c r="AD107" i="12"/>
  <c r="AD108" i="12"/>
  <c r="AD109" i="12"/>
  <c r="AB99" i="12"/>
  <c r="AC76" i="12"/>
  <c r="AC78" i="12"/>
  <c r="AC79" i="12"/>
  <c r="AC99" i="12"/>
  <c r="AD99" i="12"/>
  <c r="AE107" i="12"/>
  <c r="AE108" i="12"/>
  <c r="AE109" i="12"/>
  <c r="AC89" i="12"/>
  <c r="AF108" i="12"/>
  <c r="AC86" i="12"/>
  <c r="AB100" i="12"/>
  <c r="Z40" i="12"/>
  <c r="Z39" i="12"/>
  <c r="AC90" i="12"/>
  <c r="AC100" i="12"/>
  <c r="AD100" i="12"/>
  <c r="AF107" i="12"/>
  <c r="AF109" i="12"/>
  <c r="J52" i="12"/>
  <c r="K53" i="12"/>
  <c r="K55" i="12"/>
  <c r="N52" i="12"/>
  <c r="M52" i="12"/>
  <c r="L52" i="12"/>
  <c r="K52" i="12"/>
  <c r="L69" i="12"/>
  <c r="L64" i="12"/>
  <c r="M70" i="12"/>
  <c r="M69" i="12"/>
  <c r="L70" i="12"/>
  <c r="K70" i="12"/>
  <c r="K69" i="12"/>
  <c r="K64" i="12"/>
  <c r="M64" i="12"/>
  <c r="J53" i="12"/>
  <c r="J55" i="12"/>
  <c r="E23" i="4"/>
  <c r="F23" i="4"/>
  <c r="G23" i="4"/>
  <c r="E22" i="4"/>
  <c r="F22" i="4"/>
  <c r="G22" i="4"/>
  <c r="G24" i="4"/>
  <c r="D46" i="4"/>
  <c r="K45" i="4"/>
  <c r="E25" i="4"/>
  <c r="F25" i="4"/>
  <c r="G25" i="4"/>
  <c r="E26" i="4"/>
  <c r="F26" i="4"/>
  <c r="G26" i="4"/>
  <c r="G27" i="4"/>
  <c r="D47" i="4"/>
  <c r="J45" i="4"/>
  <c r="L45" i="4"/>
  <c r="F35" i="4"/>
  <c r="G35" i="4"/>
  <c r="E34" i="4"/>
  <c r="F34" i="4"/>
  <c r="G34" i="4"/>
  <c r="G36" i="4"/>
  <c r="D44" i="4"/>
  <c r="K44" i="4"/>
  <c r="E37" i="4"/>
  <c r="F37" i="4"/>
  <c r="G37" i="4"/>
  <c r="E38" i="4"/>
  <c r="F38" i="4"/>
  <c r="G38" i="4"/>
  <c r="G39" i="4"/>
  <c r="D45" i="4"/>
  <c r="J44" i="4"/>
  <c r="L44" i="4"/>
  <c r="D23" i="4"/>
  <c r="M9" i="13"/>
  <c r="L12" i="13"/>
  <c r="L11" i="13"/>
  <c r="L10" i="13"/>
  <c r="L9" i="13"/>
  <c r="D10" i="12"/>
  <c r="D9" i="12"/>
  <c r="D7" i="12"/>
  <c r="F52" i="12"/>
  <c r="G52" i="12"/>
  <c r="D52" i="12"/>
  <c r="F50" i="12"/>
  <c r="G50" i="12"/>
  <c r="F49" i="12"/>
  <c r="G49" i="12"/>
  <c r="D50" i="12"/>
  <c r="D49" i="12"/>
  <c r="F42" i="12"/>
  <c r="G42" i="12"/>
  <c r="D42" i="12"/>
  <c r="F41" i="12"/>
  <c r="G41" i="12"/>
  <c r="D41" i="12"/>
  <c r="F39" i="12"/>
  <c r="G39" i="12"/>
  <c r="G43" i="12"/>
  <c r="D39" i="12"/>
  <c r="F32" i="12"/>
  <c r="G32" i="12"/>
  <c r="F31" i="12"/>
  <c r="G31" i="12"/>
  <c r="D32" i="12"/>
  <c r="D31" i="12"/>
  <c r="F29" i="12"/>
  <c r="G29" i="12"/>
  <c r="D29" i="12"/>
  <c r="D17" i="12"/>
  <c r="D22" i="12"/>
  <c r="D21" i="12"/>
  <c r="D20" i="12"/>
  <c r="D19" i="12"/>
  <c r="D8" i="4"/>
  <c r="D38" i="4"/>
  <c r="D37" i="4"/>
  <c r="O10" i="4"/>
  <c r="D35" i="4"/>
  <c r="D34" i="4"/>
  <c r="D26" i="4"/>
  <c r="D25" i="4"/>
  <c r="D22" i="4"/>
  <c r="F10" i="4"/>
  <c r="E10" i="4"/>
  <c r="D10" i="4"/>
  <c r="F9" i="4"/>
  <c r="E9" i="4"/>
  <c r="D9" i="4"/>
  <c r="F8" i="4"/>
  <c r="E8" i="4"/>
  <c r="G53" i="12"/>
  <c r="Q8" i="4"/>
  <c r="G33" i="12"/>
  <c r="D62" i="12"/>
  <c r="L62" i="12"/>
  <c r="D61" i="12"/>
  <c r="L61" i="12"/>
  <c r="D63" i="12"/>
  <c r="L63" i="12"/>
  <c r="G10" i="4"/>
  <c r="P6" i="4"/>
  <c r="G8" i="4"/>
  <c r="O5" i="4"/>
  <c r="G9" i="4"/>
  <c r="P10" i="4"/>
  <c r="R8" i="4"/>
  <c r="R7" i="4"/>
  <c r="K61" i="12"/>
  <c r="M61" i="12"/>
  <c r="L53" i="12"/>
  <c r="L55" i="12"/>
  <c r="K63" i="12"/>
  <c r="M63" i="12"/>
  <c r="N53" i="12"/>
  <c r="N55" i="12"/>
  <c r="K62" i="12"/>
  <c r="M62" i="12"/>
  <c r="M53" i="12"/>
  <c r="M55" i="12"/>
  <c r="O9" i="4"/>
  <c r="O13" i="4"/>
  <c r="O14" i="4"/>
  <c r="O12" i="4"/>
  <c r="O16" i="4"/>
  <c r="P9" i="4"/>
  <c r="R16" i="4"/>
  <c r="R15" i="4"/>
  <c r="R13" i="4"/>
  <c r="R14" i="4"/>
  <c r="R12" i="4"/>
  <c r="G11" i="4"/>
  <c r="P5" i="4"/>
  <c r="Q7" i="4"/>
  <c r="P16" i="4"/>
  <c r="P15" i="4"/>
  <c r="P13" i="4"/>
  <c r="P14" i="4"/>
  <c r="P12" i="4"/>
  <c r="Q16" i="4"/>
  <c r="Q15" i="4"/>
  <c r="Q13" i="4"/>
  <c r="Q14" i="4"/>
  <c r="Q12" i="4"/>
  <c r="O15" i="4"/>
</calcChain>
</file>

<file path=xl/sharedStrings.xml><?xml version="1.0" encoding="utf-8"?>
<sst xmlns="http://schemas.openxmlformats.org/spreadsheetml/2006/main" count="275" uniqueCount="92">
  <si>
    <t xml:space="preserve"> </t>
  </si>
  <si>
    <t>-</t>
  </si>
  <si>
    <t>Dilution factor</t>
  </si>
  <si>
    <t>N° of colonies on plate</t>
  </si>
  <si>
    <t>Reciprocal of dilution sample</t>
  </si>
  <si>
    <t>N° bacteria/mL</t>
  </si>
  <si>
    <t>Time</t>
  </si>
  <si>
    <t>E.coli Blank (Broth)</t>
  </si>
  <si>
    <t>AVERAGE</t>
  </si>
  <si>
    <t>S.Aureus Blank (Broth)</t>
  </si>
  <si>
    <t>S. Aureus Blank (Broth) DUP 1</t>
  </si>
  <si>
    <t>E.coli Blank (Broth) DUP 1</t>
  </si>
  <si>
    <t>E.coli in contact with the mebrane (saline water)</t>
  </si>
  <si>
    <t>E.coli in contact with the mebrane (saline water) DUP 1</t>
  </si>
  <si>
    <r>
      <t>N</t>
    </r>
    <r>
      <rPr>
        <b/>
        <sz val="12"/>
        <color theme="1"/>
        <rFont val="Calibri"/>
        <family val="2"/>
      </rPr>
      <t>°</t>
    </r>
    <r>
      <rPr>
        <b/>
        <sz val="12"/>
        <color theme="1"/>
        <rFont val="Calibri"/>
        <family val="2"/>
        <scheme val="minor"/>
      </rPr>
      <t xml:space="preserve"> bacteria/mL</t>
    </r>
  </si>
  <si>
    <t>E. coli in contact with the membrane</t>
  </si>
  <si>
    <t>S.Aureus in contact with the membrane</t>
  </si>
  <si>
    <t>Dilution Factor</t>
  </si>
  <si>
    <t>0,2mol/L ADMH</t>
  </si>
  <si>
    <t>0,4mol/L ADMH</t>
  </si>
  <si>
    <t>E.coli in contact with membrane (saline water)</t>
  </si>
  <si>
    <t>E.coli in contact with membrane (saline water) DUP</t>
  </si>
  <si>
    <t>0,6mol/L ADMH</t>
  </si>
  <si>
    <t>0,8 mol/L ADMH</t>
  </si>
  <si>
    <t>Ecoli in contact with membrane 0,2mol/L</t>
  </si>
  <si>
    <t>Ecoli in contact with membrane 0,4mol/L</t>
  </si>
  <si>
    <t>Ecoli in contact with membrane 0,6mol/L</t>
  </si>
  <si>
    <t>Ecoli in contact with membrane 0,8mol/L</t>
  </si>
  <si>
    <t>E.coli</t>
  </si>
  <si>
    <t>Time (min)</t>
  </si>
  <si>
    <t>S. Aureus</t>
  </si>
  <si>
    <t>E.Coli</t>
  </si>
  <si>
    <t>E.Coli OD (ABS)</t>
  </si>
  <si>
    <t>E.Coli OD DUP (ABS)</t>
  </si>
  <si>
    <t>S. Aureus OD (ABS)</t>
  </si>
  <si>
    <t>S. Aureus OD DUP (ABS)</t>
  </si>
  <si>
    <t>EXPERIMENT 2</t>
  </si>
  <si>
    <t>EXPERIMENT 3</t>
  </si>
  <si>
    <t xml:space="preserve">E coli in contact with the membrane (saline water) </t>
  </si>
  <si>
    <t>E coli in contact with the membrane (saline water)  DUP 1</t>
  </si>
  <si>
    <t>S. Aureus in contact with the membrane (saline water)</t>
  </si>
  <si>
    <t>S. Aureus in contact with the membrane (saline water) DUP 1</t>
  </si>
  <si>
    <t>E.coli Blank (Broth) DUP1</t>
  </si>
  <si>
    <t>0,2mol/ ADMH DUP1</t>
  </si>
  <si>
    <t>0,4mol/L ADMH DUP1</t>
  </si>
  <si>
    <t>0,6mol/L ADMH DUP1</t>
  </si>
  <si>
    <t>0,8mol/L ADMH DUP1</t>
  </si>
  <si>
    <t>E.coli in contact with membrane (saline water) DUP1</t>
  </si>
  <si>
    <t>TOTAL</t>
  </si>
  <si>
    <t>EXPERIMENT 1 (TRIAL)</t>
  </si>
  <si>
    <t>UNMODIFIED MEMBRANES</t>
  </si>
  <si>
    <t>MODIFIED MEMBRANES</t>
  </si>
  <si>
    <t>S.Aureus in solution (not in contact with membrane)</t>
  </si>
  <si>
    <t>E. coli in solution (not in contact with membrane)</t>
  </si>
  <si>
    <t>S.Aureus</t>
  </si>
  <si>
    <t>Mortality Ratio</t>
  </si>
  <si>
    <t>A</t>
  </si>
  <si>
    <t>B</t>
  </si>
  <si>
    <t>A1</t>
  </si>
  <si>
    <t>B1</t>
  </si>
  <si>
    <t>E.coli in solution (not in contact with membrane)</t>
  </si>
  <si>
    <t>Standard Deviation</t>
  </si>
  <si>
    <t>Exp1</t>
  </si>
  <si>
    <t>Exp2</t>
  </si>
  <si>
    <t>Exp3</t>
  </si>
  <si>
    <t>E.Coli in Broth</t>
  </si>
  <si>
    <t>E.coli in Saline Water</t>
  </si>
  <si>
    <t>S. Aureus in Broth</t>
  </si>
  <si>
    <t>S.Aureus in Saline Water</t>
  </si>
  <si>
    <t>MAX</t>
  </si>
  <si>
    <t>MIN</t>
  </si>
  <si>
    <t>MEAN</t>
  </si>
  <si>
    <t>STD DEVIATION</t>
  </si>
  <si>
    <t>STD ERROR OF MEAN</t>
  </si>
  <si>
    <t>e</t>
  </si>
  <si>
    <t>Unmodified</t>
  </si>
  <si>
    <t>A2</t>
  </si>
  <si>
    <t>A3</t>
  </si>
  <si>
    <t>A4</t>
  </si>
  <si>
    <t>umodified</t>
  </si>
  <si>
    <t>modified</t>
  </si>
  <si>
    <t>Modified 0,2 mol/L</t>
  </si>
  <si>
    <t>Modified 0,4 mol/L</t>
  </si>
  <si>
    <t>Modified 0,6 mol/L</t>
  </si>
  <si>
    <t>Modified 0,8 mol/L</t>
  </si>
  <si>
    <t>%Increase mortaliy ratio</t>
  </si>
  <si>
    <t>Bacteria</t>
  </si>
  <si>
    <t>S. Aureus in contact with membrane (saline water)</t>
  </si>
  <si>
    <t>S. Aureus in contact with membrane (saline water) DUP</t>
  </si>
  <si>
    <t>S. Aureus in contact with membrane (saline water) DUP1</t>
  </si>
  <si>
    <t>E. coli</t>
  </si>
  <si>
    <t>S. aureus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</si>
</sst>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0.00%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8" tint="0.3999755851924192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88">
    <xf numFmtId="0" fontId="0" fillId="0" borderId="0" xfId="0"/>
    <xf numFmtId="0" fontId="16" fillId="0" borderId="0" xfId="0" applyFont="1"/>
    <xf numFmtId="0" fontId="18" fillId="0" borderId="0" xfId="42"/>
    <xf numFmtId="0" fontId="19" fillId="0" borderId="0" xfId="42" applyFont="1"/>
    <xf numFmtId="0" fontId="20" fillId="0" borderId="0" xfId="42" applyFont="1"/>
    <xf numFmtId="0" fontId="20" fillId="0" borderId="10" xfId="42" applyFont="1" applyBorder="1"/>
    <xf numFmtId="0" fontId="20" fillId="34" borderId="0" xfId="42" applyFont="1" applyFill="1"/>
    <xf numFmtId="11" fontId="18" fillId="34" borderId="0" xfId="42" applyNumberFormat="1" applyFill="1"/>
    <xf numFmtId="0" fontId="18" fillId="34" borderId="0" xfId="42" applyFill="1"/>
    <xf numFmtId="0" fontId="18" fillId="0" borderId="10" xfId="42" applyBorder="1"/>
    <xf numFmtId="11" fontId="18" fillId="0" borderId="0" xfId="42" applyNumberFormat="1"/>
    <xf numFmtId="0" fontId="20" fillId="33" borderId="0" xfId="42" applyFont="1" applyFill="1"/>
    <xf numFmtId="0" fontId="18" fillId="33" borderId="0" xfId="42" applyFill="1"/>
    <xf numFmtId="11" fontId="18" fillId="33" borderId="0" xfId="42" applyNumberFormat="1" applyFill="1"/>
    <xf numFmtId="0" fontId="20" fillId="35" borderId="0" xfId="42" applyFont="1" applyFill="1"/>
    <xf numFmtId="11" fontId="18" fillId="35" borderId="0" xfId="42" applyNumberFormat="1" applyFill="1"/>
    <xf numFmtId="0" fontId="18" fillId="35" borderId="0" xfId="42" applyFill="1"/>
    <xf numFmtId="0" fontId="20" fillId="0" borderId="11" xfId="42" applyFont="1" applyBorder="1"/>
    <xf numFmtId="0" fontId="20" fillId="34" borderId="12" xfId="42" applyFont="1" applyFill="1" applyBorder="1"/>
    <xf numFmtId="0" fontId="20" fillId="35" borderId="12" xfId="42" applyFont="1" applyFill="1" applyBorder="1"/>
    <xf numFmtId="0" fontId="20" fillId="33" borderId="12" xfId="42" applyFont="1" applyFill="1" applyBorder="1"/>
    <xf numFmtId="11" fontId="18" fillId="0" borderId="10" xfId="42" applyNumberFormat="1" applyBorder="1"/>
    <xf numFmtId="0" fontId="0" fillId="0" borderId="10" xfId="0" applyBorder="1"/>
    <xf numFmtId="0" fontId="16" fillId="0" borderId="18" xfId="0" applyFont="1" applyBorder="1"/>
    <xf numFmtId="0" fontId="0" fillId="0" borderId="19" xfId="0" applyBorder="1"/>
    <xf numFmtId="0" fontId="0" fillId="35" borderId="10" xfId="0" applyFill="1" applyBorder="1"/>
    <xf numFmtId="11" fontId="0" fillId="35" borderId="10" xfId="0" applyNumberFormat="1" applyFill="1" applyBorder="1"/>
    <xf numFmtId="11" fontId="0" fillId="0" borderId="19" xfId="0" applyNumberFormat="1" applyBorder="1"/>
    <xf numFmtId="0" fontId="16" fillId="35" borderId="10" xfId="0" applyFont="1" applyFill="1" applyBorder="1"/>
    <xf numFmtId="11" fontId="0" fillId="0" borderId="10" xfId="0" applyNumberFormat="1" applyBorder="1"/>
    <xf numFmtId="0" fontId="0" fillId="0" borderId="13" xfId="0" applyBorder="1"/>
    <xf numFmtId="11" fontId="0" fillId="0" borderId="20" xfId="0" applyNumberFormat="1" applyBorder="1"/>
    <xf numFmtId="11" fontId="0" fillId="0" borderId="14" xfId="0" applyNumberFormat="1" applyBorder="1"/>
    <xf numFmtId="11" fontId="0" fillId="0" borderId="0" xfId="0" applyNumberFormat="1"/>
    <xf numFmtId="0" fontId="0" fillId="33" borderId="10" xfId="0" applyFill="1" applyBorder="1"/>
    <xf numFmtId="11" fontId="0" fillId="33" borderId="10" xfId="0" applyNumberFormat="1" applyFill="1" applyBorder="1"/>
    <xf numFmtId="0" fontId="16" fillId="33" borderId="10" xfId="0" applyFont="1" applyFill="1" applyBorder="1"/>
    <xf numFmtId="0" fontId="0" fillId="35" borderId="0" xfId="0" applyFill="1"/>
    <xf numFmtId="0" fontId="16" fillId="35" borderId="0" xfId="0" applyFont="1" applyFill="1"/>
    <xf numFmtId="11" fontId="0" fillId="35" borderId="0" xfId="0" applyNumberFormat="1" applyFill="1"/>
    <xf numFmtId="0" fontId="22" fillId="34" borderId="15" xfId="0" applyFont="1" applyFill="1" applyBorder="1"/>
    <xf numFmtId="0" fontId="16" fillId="34" borderId="16" xfId="0" applyFont="1" applyFill="1" applyBorder="1"/>
    <xf numFmtId="0" fontId="16" fillId="34" borderId="17" xfId="0" applyFont="1" applyFill="1" applyBorder="1"/>
    <xf numFmtId="0" fontId="22" fillId="34" borderId="22" xfId="0" applyFont="1" applyFill="1" applyBorder="1"/>
    <xf numFmtId="0" fontId="22" fillId="34" borderId="0" xfId="0" applyFont="1" applyFill="1"/>
    <xf numFmtId="0" fontId="0" fillId="34" borderId="0" xfId="0" applyFill="1"/>
    <xf numFmtId="11" fontId="0" fillId="34" borderId="0" xfId="0" applyNumberFormat="1" applyFill="1"/>
    <xf numFmtId="11" fontId="16" fillId="34" borderId="23" xfId="0" applyNumberFormat="1" applyFont="1" applyFill="1" applyBorder="1"/>
    <xf numFmtId="0" fontId="16" fillId="34" borderId="23" xfId="0" applyFont="1" applyFill="1" applyBorder="1"/>
    <xf numFmtId="11" fontId="16" fillId="34" borderId="21" xfId="0" applyNumberFormat="1" applyFont="1" applyFill="1" applyBorder="1"/>
    <xf numFmtId="0" fontId="16" fillId="34" borderId="0" xfId="0" applyFont="1" applyFill="1"/>
    <xf numFmtId="0" fontId="14" fillId="34" borderId="0" xfId="0" applyFont="1" applyFill="1"/>
    <xf numFmtId="11" fontId="16" fillId="34" borderId="0" xfId="0" applyNumberFormat="1" applyFont="1" applyFill="1"/>
    <xf numFmtId="11" fontId="20" fillId="33" borderId="0" xfId="42" applyNumberFormat="1" applyFont="1" applyFill="1"/>
    <xf numFmtId="11" fontId="16" fillId="33" borderId="10" xfId="0" applyNumberFormat="1" applyFont="1" applyFill="1" applyBorder="1"/>
    <xf numFmtId="0" fontId="16" fillId="34" borderId="10" xfId="0" applyFont="1" applyFill="1" applyBorder="1"/>
    <xf numFmtId="0" fontId="16" fillId="0" borderId="10" xfId="0" applyFont="1" applyBorder="1"/>
    <xf numFmtId="0" fontId="24" fillId="0" borderId="0" xfId="42" applyFont="1"/>
    <xf numFmtId="0" fontId="25" fillId="0" borderId="0" xfId="42" applyFont="1"/>
    <xf numFmtId="0" fontId="18" fillId="36" borderId="0" xfId="42" applyFill="1"/>
    <xf numFmtId="0" fontId="25" fillId="36" borderId="0" xfId="42" applyFont="1" applyFill="1"/>
    <xf numFmtId="0" fontId="26" fillId="0" borderId="0" xfId="42" applyFont="1"/>
    <xf numFmtId="0" fontId="27" fillId="0" borderId="0" xfId="42" applyFont="1"/>
    <xf numFmtId="0" fontId="22" fillId="0" borderId="0" xfId="0" applyFont="1"/>
    <xf numFmtId="10" fontId="18" fillId="0" borderId="10" xfId="42" applyNumberFormat="1" applyBorder="1"/>
    <xf numFmtId="10" fontId="0" fillId="0" borderId="10" xfId="0" applyNumberFormat="1" applyBorder="1"/>
    <xf numFmtId="0" fontId="20" fillId="0" borderId="19" xfId="42" applyFont="1" applyBorder="1"/>
    <xf numFmtId="11" fontId="18" fillId="0" borderId="16" xfId="42" applyNumberFormat="1" applyBorder="1"/>
    <xf numFmtId="11" fontId="18" fillId="0" borderId="19" xfId="42" applyNumberFormat="1" applyBorder="1"/>
    <xf numFmtId="0" fontId="18" fillId="0" borderId="16" xfId="42" applyBorder="1"/>
    <xf numFmtId="11" fontId="18" fillId="0" borderId="20" xfId="42" applyNumberFormat="1" applyBorder="1"/>
    <xf numFmtId="0" fontId="18" fillId="0" borderId="19" xfId="42" applyBorder="1"/>
    <xf numFmtId="0" fontId="18" fillId="0" borderId="20" xfId="42" applyBorder="1"/>
    <xf numFmtId="11" fontId="18" fillId="0" borderId="24" xfId="42" applyNumberFormat="1" applyBorder="1"/>
    <xf numFmtId="0" fontId="20" fillId="0" borderId="16" xfId="42" applyFont="1" applyBorder="1"/>
    <xf numFmtId="0" fontId="20" fillId="0" borderId="23" xfId="42" applyFont="1" applyBorder="1"/>
    <xf numFmtId="11" fontId="18" fillId="0" borderId="21" xfId="42" applyNumberFormat="1" applyBorder="1"/>
    <xf numFmtId="0" fontId="18" fillId="0" borderId="21" xfId="42" applyBorder="1"/>
    <xf numFmtId="0" fontId="18" fillId="0" borderId="23" xfId="42" applyBorder="1"/>
    <xf numFmtId="11" fontId="18" fillId="0" borderId="18" xfId="42" applyNumberFormat="1" applyBorder="1"/>
    <xf numFmtId="11" fontId="18" fillId="0" borderId="23" xfId="42" applyNumberFormat="1" applyBorder="1"/>
    <xf numFmtId="11" fontId="18" fillId="0" borderId="22" xfId="42" applyNumberFormat="1" applyBorder="1"/>
    <xf numFmtId="0" fontId="18" fillId="0" borderId="18" xfId="42" applyBorder="1"/>
    <xf numFmtId="0" fontId="18" fillId="0" borderId="15" xfId="42" applyBorder="1"/>
    <xf numFmtId="0" fontId="27" fillId="33" borderId="0" xfId="42" applyFont="1" applyFill="1"/>
    <xf numFmtId="11" fontId="26" fillId="33" borderId="0" xfId="42" applyNumberFormat="1" applyFont="1" applyFill="1"/>
    <xf numFmtId="164" fontId="0" fillId="0" borderId="10" xfId="0" applyNumberFormat="1" applyBorder="1"/>
    <xf numFmtId="11" fontId="16" fillId="0" borderId="10" xfId="0" applyNumberFormat="1" applyFont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74">
    <dxf>
      <numFmt numFmtId="15" formatCode="0.00E+00"/>
      <fill>
        <patternFill patternType="solid">
          <fgColor indexed="64"/>
          <bgColor theme="0"/>
        </patternFill>
      </fill>
    </dxf>
    <dxf>
      <numFmt numFmtId="15" formatCode="0.00E+00"/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numFmt numFmtId="15" formatCode="0.00E+00"/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 tint="-4.9989318521683403E-2"/>
        </patternFill>
      </fill>
    </dxf>
    <dxf>
      <numFmt numFmtId="15" formatCode="0.00E+00"/>
      <fill>
        <patternFill patternType="solid">
          <fgColor indexed="64"/>
          <bgColor theme="0"/>
        </patternFill>
      </fill>
    </dxf>
    <dxf>
      <numFmt numFmtId="15" formatCode="0.00E+00"/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numFmt numFmtId="15" formatCode="0.00E+00"/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 tint="-4.9989318521683403E-2"/>
        </patternFill>
      </fill>
    </dxf>
    <dxf>
      <numFmt numFmtId="15" formatCode="0.00E+00"/>
      <fill>
        <patternFill patternType="solid">
          <fgColor indexed="64"/>
          <bgColor theme="0"/>
        </patternFill>
      </fill>
    </dxf>
    <dxf>
      <numFmt numFmtId="15" formatCode="0.00E+00"/>
      <fill>
        <patternFill patternType="solid">
          <fgColor indexed="64"/>
          <bgColor theme="0"/>
        </patternFill>
      </fill>
    </dxf>
    <dxf>
      <numFmt numFmtId="0" formatCode="General"/>
      <fill>
        <patternFill patternType="solid">
          <fgColor indexed="64"/>
          <bgColor theme="0"/>
        </patternFill>
      </fill>
    </dxf>
    <dxf>
      <numFmt numFmtId="15" formatCode="0.00E+00"/>
      <fill>
        <patternFill patternType="solid">
          <fgColor indexed="64"/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 tint="-4.9989318521683403E-2"/>
        </patternFill>
      </fill>
    </dxf>
    <dxf>
      <numFmt numFmtId="15" formatCode="0.00E+00"/>
    </dxf>
    <dxf>
      <numFmt numFmtId="15" formatCode="0.00E+00"/>
    </dxf>
    <dxf>
      <numFmt numFmtId="15" formatCode="0.00E+00"/>
    </dxf>
    <dxf>
      <fill>
        <patternFill patternType="solid">
          <fgColor indexed="64"/>
          <bgColor theme="0" tint="-4.9989318521683403E-2"/>
        </patternFill>
      </fill>
    </dxf>
    <dxf>
      <numFmt numFmtId="15" formatCode="0.00E+00"/>
    </dxf>
    <dxf>
      <numFmt numFmtId="15" formatCode="0.00E+00"/>
    </dxf>
    <dxf>
      <numFmt numFmtId="15" formatCode="0.00E+00"/>
    </dxf>
    <dxf>
      <numFmt numFmtId="15" formatCode="0.00E+00"/>
      <fill>
        <patternFill patternType="solid">
          <fgColor indexed="64"/>
          <bgColor theme="0" tint="-4.9989318521683403E-2"/>
        </patternFill>
      </fill>
    </dxf>
    <dxf>
      <numFmt numFmtId="15" formatCode="0.00E+00"/>
      <fill>
        <patternFill patternType="solid">
          <fgColor indexed="64"/>
          <bgColor theme="0"/>
        </patternFill>
      </fill>
    </dxf>
    <dxf>
      <numFmt numFmtId="15" formatCode="0.00E+00"/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numFmt numFmtId="15" formatCode="0.00E+00"/>
      <fill>
        <patternFill patternType="solid">
          <fgColor indexed="64"/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</dxf>
    <dxf>
      <numFmt numFmtId="15" formatCode="0.00E+00"/>
    </dxf>
    <dxf>
      <numFmt numFmtId="15" formatCode="0.00E+00"/>
    </dxf>
    <dxf>
      <numFmt numFmtId="15" formatCode="0.00E+00"/>
    </dxf>
    <dxf>
      <fill>
        <patternFill patternType="solid">
          <fgColor indexed="64"/>
          <bgColor theme="0" tint="-4.9989318521683403E-2"/>
        </patternFill>
      </fill>
    </dxf>
    <dxf>
      <numFmt numFmtId="15" formatCode="0.00E+00"/>
    </dxf>
    <dxf>
      <numFmt numFmtId="15" formatCode="0.00E+00"/>
    </dxf>
    <dxf>
      <numFmt numFmtId="15" formatCode="0.00E+00"/>
    </dxf>
    <dxf>
      <fill>
        <patternFill patternType="solid">
          <fgColor indexed="64"/>
          <bgColor theme="0" tint="-4.9989318521683403E-2"/>
        </patternFill>
      </fill>
    </dxf>
    <dxf>
      <numFmt numFmtId="15" formatCode="0.00E+0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5" formatCode="0.00E+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5" formatCode="0.00E+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5" formatCode="0.00E+00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5" formatCode="0.00E+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5" formatCode="0.00E+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5" formatCode="0.00E+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5" formatCode="0.00E+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5" formatCode="0.00E+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 val="0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5" formatCode="0.00E+00"/>
    </dxf>
    <dxf>
      <numFmt numFmtId="15" formatCode="0.00E+00"/>
    </dxf>
    <dxf>
      <numFmt numFmtId="15" formatCode="0.00E+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numFmt numFmtId="15" formatCode="0.00E+00"/>
    </dxf>
    <dxf>
      <numFmt numFmtId="15" formatCode="0.00E+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numFmt numFmtId="15" formatCode="0.00E+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'Unmodified Membrane'!$D$43</c:f>
              <c:strCache>
                <c:ptCount val="1"/>
                <c:pt idx="0">
                  <c:v>N° bacteria/mL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'Unmodified Membrane'!$C$44:$C$47</c:f>
              <c:strCache>
                <c:ptCount val="4"/>
                <c:pt idx="0">
                  <c:v>E. coli in solution (not in contact with membrane)</c:v>
                </c:pt>
                <c:pt idx="1">
                  <c:v>E. coli in contact with the membrane</c:v>
                </c:pt>
                <c:pt idx="2">
                  <c:v>S.Aureus in solution (not in contact with membrane)</c:v>
                </c:pt>
                <c:pt idx="3">
                  <c:v>S.Aureus in contact with the membrane</c:v>
                </c:pt>
              </c:strCache>
            </c:strRef>
          </c:cat>
          <c:val>
            <c:numRef>
              <c:f>'Unmodified Membrane'!$D$44:$D$47</c:f>
              <c:numCache>
                <c:formatCode>0.00E+00</c:formatCode>
                <c:ptCount val="4"/>
                <c:pt idx="0">
                  <c:v>11450000</c:v>
                </c:pt>
                <c:pt idx="1">
                  <c:v>7300000</c:v>
                </c:pt>
                <c:pt idx="2">
                  <c:v>5550000</c:v>
                </c:pt>
                <c:pt idx="3">
                  <c:v>2760000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58-47AE-ADE6-FE0791CA9FE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1431813631"/>
        <c:axId val="271120799"/>
      </c:barChart>
      <c:catAx>
        <c:axId val="1431813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1120799"/>
        <c:crosses val="autoZero"/>
        <c:auto val="1"/>
        <c:lblAlgn val="ctr"/>
        <c:lblOffset val="100"/>
        <c:noMultiLvlLbl val="0"/>
      </c:catAx>
      <c:valAx>
        <c:axId val="271120799"/>
        <c:scaling>
          <c:orientation val="minMax"/>
        </c:scaling>
        <c:delete val="1"/>
        <c:axPos val="l"/>
        <c:numFmt formatCode="0.00E+00" sourceLinked="1"/>
        <c:majorTickMark val="none"/>
        <c:minorTickMark val="none"/>
        <c:tickLblPos val="nextTo"/>
        <c:crossAx val="14318136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S.Aureus Dup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'Optical Density'!$L$9:$L$12</c:f>
              <c:numCache>
                <c:formatCode>General</c:formatCode>
                <c:ptCount val="4"/>
                <c:pt idx="0">
                  <c:v>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</c:numCache>
            </c:numRef>
          </c:xVal>
          <c:yVal>
            <c:numRef>
              <c:f>'Optical Density'!$N$10:$N$12</c:f>
              <c:numCache>
                <c:formatCode>General</c:formatCode>
                <c:ptCount val="3"/>
                <c:pt idx="0">
                  <c:v>4.4999999999999998E-2</c:v>
                </c:pt>
                <c:pt idx="1">
                  <c:v>4.5999999999999999E-2</c:v>
                </c:pt>
                <c:pt idx="2">
                  <c:v>4.7E-2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542-48D8-84BE-AFC655319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615912"/>
        <c:axId val="769613096"/>
      </c:scatterChart>
      <c:valAx>
        <c:axId val="769615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(min)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613096"/>
        <c:crosses val="autoZero"/>
        <c:crossBetween val="midCat"/>
      </c:valAx>
      <c:valAx>
        <c:axId val="769613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  <a:r>
                  <a:rPr lang="en-GB" baseline="-25000"/>
                  <a:t>590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615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N BACTERIA/ml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chemeClr val="accent1"/>
                  </a:gs>
                  <a:gs pos="100000">
                    <a:schemeClr val="accent1">
                      <a:lumMod val="84000"/>
                    </a:schemeClr>
                  </a:gs>
                </a:gsLst>
                <a:lin ang="5400000" scaled="1"/>
              </a:gradFill>
              <a:ln>
                <a:solidFill>
                  <a:schemeClr val="accent1">
                    <a:alpha val="94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CA6E-45B1-9304-66DA5DADC6E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 Modified Membranes'!$C$59:$C$63</c:f>
              <c:strCache>
                <c:ptCount val="5"/>
                <c:pt idx="0">
                  <c:v>E.coli in solution (not in contact with membrane)</c:v>
                </c:pt>
                <c:pt idx="1">
                  <c:v>Ecoli in contact with membrane 0,2mol/L</c:v>
                </c:pt>
                <c:pt idx="2">
                  <c:v>Ecoli in contact with membrane 0,4mol/L</c:v>
                </c:pt>
                <c:pt idx="3">
                  <c:v>Ecoli in contact with membrane 0,6mol/L</c:v>
                </c:pt>
                <c:pt idx="4">
                  <c:v>Ecoli in contact with membrane 0,8mol/L</c:v>
                </c:pt>
              </c:strCache>
            </c:strRef>
          </c:cat>
          <c:val>
            <c:numRef>
              <c:f>' Modified Membranes'!$D$59:$D$63</c:f>
              <c:numCache>
                <c:formatCode>0.00E+00</c:formatCode>
                <c:ptCount val="5"/>
                <c:pt idx="0">
                  <c:v>118666666.66666667</c:v>
                </c:pt>
                <c:pt idx="1">
                  <c:v>21981600</c:v>
                </c:pt>
                <c:pt idx="2">
                  <c:v>5728333.333333333</c:v>
                </c:pt>
                <c:pt idx="3">
                  <c:v>18123333.333333332</c:v>
                </c:pt>
                <c:pt idx="4">
                  <c:v>35600000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73-4EC5-91EC-CAFADE47DD53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847099176"/>
        <c:axId val="847099880"/>
      </c:barChart>
      <c:catAx>
        <c:axId val="847099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7099880"/>
        <c:crosses val="autoZero"/>
        <c:auto val="1"/>
        <c:lblAlgn val="ctr"/>
        <c:lblOffset val="100"/>
        <c:noMultiLvlLbl val="0"/>
      </c:catAx>
      <c:valAx>
        <c:axId val="847099880"/>
        <c:scaling>
          <c:orientation val="minMax"/>
        </c:scaling>
        <c:delete val="1"/>
        <c:axPos val="l"/>
        <c:numFmt formatCode="0.00E+00" sourceLinked="1"/>
        <c:majorTickMark val="none"/>
        <c:minorTickMark val="none"/>
        <c:tickLblPos val="nextTo"/>
        <c:crossAx val="847099176"/>
        <c:crosses val="autoZero"/>
        <c:crossBetween val="between"/>
      </c:valAx>
      <c:spPr>
        <a:solidFill>
          <a:sysClr val="window" lastClr="FFFFFF">
            <a:alpha val="96000"/>
          </a:sysClr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'Unmodified Membrane'!$D$43</c:f>
              <c:strCache>
                <c:ptCount val="1"/>
                <c:pt idx="0">
                  <c:v>N° bacteria/mL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'Unmodified Membrane'!$C$44:$C$47</c:f>
              <c:strCache>
                <c:ptCount val="4"/>
                <c:pt idx="0">
                  <c:v>E. coli in solution (not in contact with membrane)</c:v>
                </c:pt>
                <c:pt idx="1">
                  <c:v>E. coli in contact with the membrane</c:v>
                </c:pt>
                <c:pt idx="2">
                  <c:v>S.Aureus in solution (not in contact with membrane)</c:v>
                </c:pt>
                <c:pt idx="3">
                  <c:v>S.Aureus in contact with the membrane</c:v>
                </c:pt>
              </c:strCache>
            </c:strRef>
          </c:cat>
          <c:val>
            <c:numRef>
              <c:f>'Unmodified Membrane'!$D$44:$D$47</c:f>
              <c:numCache>
                <c:formatCode>0.00E+00</c:formatCode>
                <c:ptCount val="4"/>
                <c:pt idx="0">
                  <c:v>11450000</c:v>
                </c:pt>
                <c:pt idx="1">
                  <c:v>7300000</c:v>
                </c:pt>
                <c:pt idx="2">
                  <c:v>5550000</c:v>
                </c:pt>
                <c:pt idx="3">
                  <c:v>2760000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BF-47E7-BD9B-BC42A34FFD4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1431813631"/>
        <c:axId val="271120799"/>
      </c:barChart>
      <c:catAx>
        <c:axId val="1431813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1120799"/>
        <c:crosses val="autoZero"/>
        <c:auto val="1"/>
        <c:lblAlgn val="ctr"/>
        <c:lblOffset val="100"/>
        <c:noMultiLvlLbl val="0"/>
      </c:catAx>
      <c:valAx>
        <c:axId val="271120799"/>
        <c:scaling>
          <c:orientation val="minMax"/>
        </c:scaling>
        <c:delete val="1"/>
        <c:axPos val="l"/>
        <c:numFmt formatCode="0.00E+00" sourceLinked="1"/>
        <c:majorTickMark val="none"/>
        <c:minorTickMark val="none"/>
        <c:tickLblPos val="nextTo"/>
        <c:crossAx val="14318136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 Modified Membranes'!$J$52:$N$52</c:f>
              <c:strCache>
                <c:ptCount val="5"/>
                <c:pt idx="0">
                  <c:v>Unmodified</c:v>
                </c:pt>
                <c:pt idx="1">
                  <c:v>Modified 0,2 mol/L</c:v>
                </c:pt>
                <c:pt idx="2">
                  <c:v>Modified 0,4 mol/L</c:v>
                </c:pt>
                <c:pt idx="3">
                  <c:v>Modified 0,6 mol/L</c:v>
                </c:pt>
                <c:pt idx="4">
                  <c:v>Modified 0,8 mol/L</c:v>
                </c:pt>
              </c:strCache>
            </c:strRef>
          </c:cat>
          <c:val>
            <c:numRef>
              <c:f>' Modified Membranes'!$J$53:$N$53</c:f>
              <c:numCache>
                <c:formatCode>0.00%</c:formatCode>
                <c:ptCount val="5"/>
                <c:pt idx="0">
                  <c:v>0.36244541484716158</c:v>
                </c:pt>
                <c:pt idx="1">
                  <c:v>0.81476179775280899</c:v>
                </c:pt>
                <c:pt idx="2">
                  <c:v>0.9517275280898877</c:v>
                </c:pt>
                <c:pt idx="3">
                  <c:v>0.84727528089887649</c:v>
                </c:pt>
                <c:pt idx="4">
                  <c:v>0.70000000000000007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07-4F6D-AA58-781C7108E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98354424"/>
        <c:axId val="604768760"/>
        <c:axId val="0"/>
      </c:bar3DChart>
      <c:catAx>
        <c:axId val="598354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768760"/>
        <c:crosses val="autoZero"/>
        <c:auto val="1"/>
        <c:lblAlgn val="ctr"/>
        <c:lblOffset val="100"/>
        <c:noMultiLvlLbl val="0"/>
      </c:catAx>
      <c:valAx>
        <c:axId val="604768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%</a:t>
                </a:r>
                <a:r>
                  <a:rPr lang="en-GB" baseline="0"/>
                  <a:t> Mortality Ratio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54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48399788408144"/>
          <c:y val="3.9010799771310709E-2"/>
          <c:w val="0.83331097609135163"/>
          <c:h val="0.91661863909903485"/>
        </c:manualLayout>
      </c:layout>
      <c:barChart>
        <c:barDir val="col"/>
        <c:grouping val="clustered"/>
        <c:varyColors val="0"/>
        <c:ser>
          <c:idx val="0"/>
          <c:order val="0"/>
          <c:tx>
            <c:v>Modified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5F31273-319F-4CA1-8B3E-920F4C423A5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FA78-4DF4-9DC3-369EF5991782}"/>
                </c:ext>
              </c:extLst>
            </c:dLbl>
            <c:dLbl>
              <c:idx val="1"/>
              <c:layout>
                <c:manualLayout>
                  <c:x val="-8.7012185447937179E-2"/>
                  <c:y val="-4.8763499714138603E-3"/>
                </c:manualLayout>
              </c:layout>
              <c:tx>
                <c:rich>
                  <a:bodyPr/>
                  <a:lstStyle/>
                  <a:p>
                    <a:fld id="{6410BE31-84C5-4AB4-8557-FB6AD9D12CC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A78-4DF4-9DC3-369EF5991782}"/>
                </c:ext>
              </c:extLst>
            </c:dLbl>
            <c:dLbl>
              <c:idx val="2"/>
              <c:layout>
                <c:manualLayout>
                  <c:x val="-8.7012185447937207E-2"/>
                  <c:y val="-4.8763499714138438E-3"/>
                </c:manualLayout>
              </c:layout>
              <c:tx>
                <c:rich>
                  <a:bodyPr/>
                  <a:lstStyle/>
                  <a:p>
                    <a:fld id="{6BD2109F-A5AD-4F0F-8116-9C38C58B834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FA78-4DF4-9DC3-369EF5991782}"/>
                </c:ext>
              </c:extLst>
            </c:dLbl>
            <c:dLbl>
              <c:idx val="3"/>
              <c:layout>
                <c:manualLayout>
                  <c:x val="-8.5526307723204728E-2"/>
                  <c:y val="-1.2124582890629801E-2"/>
                </c:manualLayout>
              </c:layout>
              <c:tx>
                <c:rich>
                  <a:bodyPr/>
                  <a:lstStyle/>
                  <a:p>
                    <a:fld id="{106ABAA1-CF20-4796-8117-9EE9BE1B357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FA78-4DF4-9DC3-369EF5991782}"/>
                </c:ext>
              </c:extLst>
            </c:dLbl>
            <c:dLbl>
              <c:idx val="4"/>
              <c:layout>
                <c:manualLayout>
                  <c:x val="-8.226973554343596E-2"/>
                  <c:y val="-4.8763533468013567E-3"/>
                </c:manualLayout>
              </c:layout>
              <c:tx>
                <c:rich>
                  <a:bodyPr/>
                  <a:lstStyle/>
                  <a:p>
                    <a:fld id="{76F42390-38D3-47CD-87C5-B856D4CBEF3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FA78-4DF4-9DC3-369EF59917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 Modified Membranes'!$J$52:$N$52</c:f>
              <c:strCache>
                <c:ptCount val="5"/>
                <c:pt idx="0">
                  <c:v>Unmodified</c:v>
                </c:pt>
                <c:pt idx="1">
                  <c:v>Modified 0,2 mol/L</c:v>
                </c:pt>
                <c:pt idx="2">
                  <c:v>Modified 0,4 mol/L</c:v>
                </c:pt>
                <c:pt idx="3">
                  <c:v>Modified 0,6 mol/L</c:v>
                </c:pt>
                <c:pt idx="4">
                  <c:v>Modified 0,8 mol/L</c:v>
                </c:pt>
              </c:strCache>
            </c:strRef>
          </c:cat>
          <c:val>
            <c:numRef>
              <c:f>' Modified Membranes'!$J$53:$N$53</c:f>
              <c:numCache>
                <c:formatCode>0.00%</c:formatCode>
                <c:ptCount val="5"/>
                <c:pt idx="0">
                  <c:v>0.36244541484716158</c:v>
                </c:pt>
                <c:pt idx="1">
                  <c:v>0.81476179775280899</c:v>
                </c:pt>
                <c:pt idx="2">
                  <c:v>0.9517275280898877</c:v>
                </c:pt>
                <c:pt idx="3">
                  <c:v>0.84727528089887649</c:v>
                </c:pt>
                <c:pt idx="4">
                  <c:v>0.70000000000000007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 Modified Membranes'!$J$55:$N$55</c15:f>
                <c15:dlblRangeCache>
                  <c:ptCount val="5"/>
                  <c:pt idx="0">
                    <c:v>+0,00%</c:v>
                  </c:pt>
                  <c:pt idx="1">
                    <c:v>+45,23%</c:v>
                  </c:pt>
                  <c:pt idx="2">
                    <c:v>+58,93%</c:v>
                  </c:pt>
                  <c:pt idx="3">
                    <c:v>+48,48%</c:v>
                  </c:pt>
                  <c:pt idx="4">
                    <c:v>+33,76%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A78-4DF4-9DC3-369EF5991782}"/>
            </c:ext>
          </c:extLst>
        </c:ser>
        <c:ser>
          <c:idx val="1"/>
          <c:order val="1"/>
          <c:tx>
            <c:strRef>
              <c:f>' Modified Membranes'!$J$52</c:f>
              <c:strCache>
                <c:ptCount val="1"/>
                <c:pt idx="0">
                  <c:v>Unmodified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 Modified Membranes'!$K$55:$N$55</c:f>
                <c:numCache>
                  <c:formatCode>General</c:formatCode>
                  <c:ptCount val="4"/>
                  <c:pt idx="0">
                    <c:v>0.45231638290564741</c:v>
                  </c:pt>
                  <c:pt idx="1">
                    <c:v>0.58928211324272617</c:v>
                  </c:pt>
                  <c:pt idx="2">
                    <c:v>0.48482986605171491</c:v>
                  </c:pt>
                  <c:pt idx="3">
                    <c:v>0.33755458515283848</c:v>
                  </c:pt>
                </c:numCache>
              </c:numRef>
            </c:plus>
            <c:minus>
              <c:numRef>
                <c:f>' Modified Membranes'!$J$55</c:f>
                <c:numCache>
                  <c:formatCode>General</c:formatCode>
                  <c:ptCount val="1"/>
                  <c:pt idx="0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  <a:headEnd type="none" w="med" len="med"/>
                <a:tailEnd type="none" w="sm" len="sm"/>
              </a:ln>
              <a:effectLst/>
            </c:spPr>
          </c:errBars>
          <c:cat>
            <c:strRef>
              <c:f>' Modified Membranes'!$J$52:$N$52</c:f>
              <c:strCache>
                <c:ptCount val="5"/>
                <c:pt idx="0">
                  <c:v>Unmodified</c:v>
                </c:pt>
                <c:pt idx="1">
                  <c:v>Modified 0,2 mol/L</c:v>
                </c:pt>
                <c:pt idx="2">
                  <c:v>Modified 0,4 mol/L</c:v>
                </c:pt>
                <c:pt idx="3">
                  <c:v>Modified 0,6 mol/L</c:v>
                </c:pt>
                <c:pt idx="4">
                  <c:v>Modified 0,8 mol/L</c:v>
                </c:pt>
              </c:strCache>
            </c:strRef>
          </c:cat>
          <c:val>
            <c:numRef>
              <c:f>' Modified Membranes'!$J$54:$N$54</c:f>
              <c:numCache>
                <c:formatCode>0.00%</c:formatCode>
                <c:ptCount val="5"/>
                <c:pt idx="0">
                  <c:v>0.36244541484716158</c:v>
                </c:pt>
                <c:pt idx="1">
                  <c:v>0.36244541484716158</c:v>
                </c:pt>
                <c:pt idx="2">
                  <c:v>0.36244541484716158</c:v>
                </c:pt>
                <c:pt idx="3">
                  <c:v>0.36244541484716158</c:v>
                </c:pt>
                <c:pt idx="4">
                  <c:v>0.36244541484716158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78-4DF4-9DC3-369EF5991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"/>
        <c:overlap val="-12"/>
        <c:axId val="604769464"/>
        <c:axId val="604768408"/>
      </c:barChart>
      <c:catAx>
        <c:axId val="604769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768408"/>
        <c:crosses val="autoZero"/>
        <c:auto val="1"/>
        <c:lblAlgn val="ctr"/>
        <c:lblOffset val="100"/>
        <c:noMultiLvlLbl val="0"/>
      </c:catAx>
      <c:valAx>
        <c:axId val="604768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%</a:t>
                </a:r>
                <a:r>
                  <a:rPr lang="en-GB" baseline="0"/>
                  <a:t> Mortality Ratio</a:t>
                </a:r>
              </a:p>
              <a:p>
                <a:pPr>
                  <a:defRPr/>
                </a:pPr>
                <a:endParaRPr lang="en-GB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769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148399788408144"/>
          <c:y val="3.9010799771310709E-2"/>
          <c:w val="0.83331097609135163"/>
          <c:h val="0.91661863909903485"/>
        </c:manualLayout>
      </c:layout>
      <c:barChart>
        <c:barDir val="col"/>
        <c:grouping val="clustered"/>
        <c:varyColors val="0"/>
        <c:ser>
          <c:idx val="0"/>
          <c:order val="0"/>
          <c:tx>
            <c:v>Modified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20E46EC-FFC0-4E3C-8B64-2B592D8C6F2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A3D5-4911-B855-86451B8B2108}"/>
                </c:ext>
              </c:extLst>
            </c:dLbl>
            <c:dLbl>
              <c:idx val="1"/>
              <c:layout>
                <c:manualLayout>
                  <c:x val="-8.7012185447937179E-2"/>
                  <c:y val="-4.8763499714138603E-3"/>
                </c:manualLayout>
              </c:layout>
              <c:tx>
                <c:rich>
                  <a:bodyPr/>
                  <a:lstStyle/>
                  <a:p>
                    <a:fld id="{46E7DB85-32BD-4478-914E-590BFDA4B7C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A3D5-4911-B855-86451B8B2108}"/>
                </c:ext>
              </c:extLst>
            </c:dLbl>
            <c:dLbl>
              <c:idx val="2"/>
              <c:layout>
                <c:manualLayout>
                  <c:x val="-8.7012185447937207E-2"/>
                  <c:y val="-4.8763499714138438E-3"/>
                </c:manualLayout>
              </c:layout>
              <c:tx>
                <c:rich>
                  <a:bodyPr/>
                  <a:lstStyle/>
                  <a:p>
                    <a:fld id="{6F305B8B-27AB-43EC-AF2A-3D73964E258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A3D5-4911-B855-86451B8B2108}"/>
                </c:ext>
              </c:extLst>
            </c:dLbl>
            <c:dLbl>
              <c:idx val="3"/>
              <c:layout>
                <c:manualLayout>
                  <c:x val="-8.5526307723204728E-2"/>
                  <c:y val="-1.2124582890629801E-2"/>
                </c:manualLayout>
              </c:layout>
              <c:tx>
                <c:rich>
                  <a:bodyPr/>
                  <a:lstStyle/>
                  <a:p>
                    <a:fld id="{B7DE2353-F518-49E6-98D4-B9571F795EF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A3D5-4911-B855-86451B8B2108}"/>
                </c:ext>
              </c:extLst>
            </c:dLbl>
            <c:dLbl>
              <c:idx val="4"/>
              <c:layout>
                <c:manualLayout>
                  <c:x val="-8.226973554343596E-2"/>
                  <c:y val="-4.8763533468013567E-3"/>
                </c:manualLayout>
              </c:layout>
              <c:tx>
                <c:rich>
                  <a:bodyPr/>
                  <a:lstStyle/>
                  <a:p>
                    <a:fld id="{3370BF66-89B5-4A3F-8A45-EABAACB7E58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A3D5-4911-B855-86451B8B21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 Modified Membranes'!$J$52:$N$52</c:f>
              <c:strCache>
                <c:ptCount val="5"/>
                <c:pt idx="0">
                  <c:v>Unmodified</c:v>
                </c:pt>
                <c:pt idx="1">
                  <c:v>Modified 0,2 mol/L</c:v>
                </c:pt>
                <c:pt idx="2">
                  <c:v>Modified 0,4 mol/L</c:v>
                </c:pt>
                <c:pt idx="3">
                  <c:v>Modified 0,6 mol/L</c:v>
                </c:pt>
                <c:pt idx="4">
                  <c:v>Modified 0,8 mol/L</c:v>
                </c:pt>
              </c:strCache>
            </c:strRef>
          </c:cat>
          <c:val>
            <c:numRef>
              <c:f>' Modified Membranes'!$AB$107:$AF$107</c:f>
              <c:numCache>
                <c:formatCode>0.00%</c:formatCode>
                <c:ptCount val="5"/>
                <c:pt idx="0">
                  <c:v>0.50270270270270268</c:v>
                </c:pt>
                <c:pt idx="1">
                  <c:v>0.56980056980056981</c:v>
                </c:pt>
                <c:pt idx="2">
                  <c:v>0.87692307692307692</c:v>
                </c:pt>
                <c:pt idx="3">
                  <c:v>0.73162393162393158</c:v>
                </c:pt>
                <c:pt idx="4">
                  <c:v>0.52706552706552712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 Modified Membranes'!$AB$109:$AF$109</c15:f>
                <c15:dlblRangeCache>
                  <c:ptCount val="5"/>
                  <c:pt idx="0">
                    <c:v>+0,00%</c:v>
                  </c:pt>
                  <c:pt idx="1">
                    <c:v>+6,71%</c:v>
                  </c:pt>
                  <c:pt idx="2">
                    <c:v>+37,42%</c:v>
                  </c:pt>
                  <c:pt idx="3">
                    <c:v>+22,89%</c:v>
                  </c:pt>
                  <c:pt idx="4">
                    <c:v>+2,44%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5-A3D5-4911-B855-86451B8B2108}"/>
            </c:ext>
          </c:extLst>
        </c:ser>
        <c:ser>
          <c:idx val="1"/>
          <c:order val="1"/>
          <c:tx>
            <c:strRef>
              <c:f>' Modified Membranes'!$AB$106</c:f>
              <c:strCache>
                <c:ptCount val="1"/>
                <c:pt idx="0">
                  <c:v>Unmodified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 Modified Membranes'!$AC$109:$AF$109</c:f>
                <c:numCache>
                  <c:formatCode>General</c:formatCode>
                  <c:ptCount val="4"/>
                  <c:pt idx="0">
                    <c:v>6.7097867097867137E-2</c:v>
                  </c:pt>
                  <c:pt idx="1">
                    <c:v>0.37422037422037424</c:v>
                  </c:pt>
                  <c:pt idx="2">
                    <c:v>0.2289212289212289</c:v>
                  </c:pt>
                  <c:pt idx="3">
                    <c:v>2.4362824362824442E-2</c:v>
                  </c:pt>
                </c:numCache>
              </c:numRef>
            </c:plus>
            <c:minus>
              <c:numRef>
                <c:f>' Modified Membranes'!$AB$109</c:f>
                <c:numCache>
                  <c:formatCode>General</c:formatCode>
                  <c:ptCount val="1"/>
                  <c:pt idx="0">
                    <c:v>0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  <a:headEnd type="none" w="med" len="med"/>
                <a:tailEnd type="none" w="sm" len="sm"/>
              </a:ln>
              <a:effectLst/>
            </c:spPr>
          </c:errBars>
          <c:cat>
            <c:strRef>
              <c:f>' Modified Membranes'!$J$52:$N$52</c:f>
              <c:strCache>
                <c:ptCount val="5"/>
                <c:pt idx="0">
                  <c:v>Unmodified</c:v>
                </c:pt>
                <c:pt idx="1">
                  <c:v>Modified 0,2 mol/L</c:v>
                </c:pt>
                <c:pt idx="2">
                  <c:v>Modified 0,4 mol/L</c:v>
                </c:pt>
                <c:pt idx="3">
                  <c:v>Modified 0,6 mol/L</c:v>
                </c:pt>
                <c:pt idx="4">
                  <c:v>Modified 0,8 mol/L</c:v>
                </c:pt>
              </c:strCache>
            </c:strRef>
          </c:cat>
          <c:val>
            <c:numRef>
              <c:f>' Modified Membranes'!$AB$108:$AF$108</c:f>
              <c:numCache>
                <c:formatCode>0.00%</c:formatCode>
                <c:ptCount val="5"/>
                <c:pt idx="0">
                  <c:v>0.50270270270270268</c:v>
                </c:pt>
                <c:pt idx="1">
                  <c:v>0.50270270270270268</c:v>
                </c:pt>
                <c:pt idx="2">
                  <c:v>0.50270270270270268</c:v>
                </c:pt>
                <c:pt idx="3">
                  <c:v>0.50270270270270268</c:v>
                </c:pt>
                <c:pt idx="4">
                  <c:v>0.50270270270270268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3D5-4911-B855-86451B8B21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"/>
        <c:overlap val="-12"/>
        <c:axId val="604769464"/>
        <c:axId val="604768408"/>
      </c:barChart>
      <c:catAx>
        <c:axId val="604769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768408"/>
        <c:crosses val="autoZero"/>
        <c:auto val="1"/>
        <c:lblAlgn val="ctr"/>
        <c:lblOffset val="100"/>
        <c:noMultiLvlLbl val="0"/>
      </c:catAx>
      <c:valAx>
        <c:axId val="604768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%</a:t>
                </a:r>
                <a:r>
                  <a:rPr lang="en-GB" baseline="0"/>
                  <a:t> Mortality Ratio</a:t>
                </a:r>
              </a:p>
              <a:p>
                <a:pPr>
                  <a:defRPr/>
                </a:pPr>
                <a:endParaRPr lang="en-GB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769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E.Coli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'Optical Density'!$E$8</c:f>
              <c:strCache>
                <c:ptCount val="1"/>
                <c:pt idx="0">
                  <c:v>E.Coli OD (ABS)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'Optical Density'!$D$9:$D$17</c:f>
              <c:numCache>
                <c:formatCode>General</c:formatCode>
                <c:ptCount val="9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</c:numCache>
            </c:numRef>
          </c:xVal>
          <c:yVal>
            <c:numRef>
              <c:f>'Optical Density'!$E$9:$E$17</c:f>
              <c:numCache>
                <c:formatCode>General</c:formatCode>
                <c:ptCount val="9"/>
                <c:pt idx="0">
                  <c:v>0</c:v>
                </c:pt>
                <c:pt idx="1">
                  <c:v>0.03</c:v>
                </c:pt>
                <c:pt idx="2">
                  <c:v>4.4999999999999998E-2</c:v>
                </c:pt>
                <c:pt idx="3">
                  <c:v>8.5999999999999993E-2</c:v>
                </c:pt>
                <c:pt idx="4">
                  <c:v>0.14499999999999999</c:v>
                </c:pt>
                <c:pt idx="5">
                  <c:v>0.215</c:v>
                </c:pt>
                <c:pt idx="6">
                  <c:v>0.28899999999999998</c:v>
                </c:pt>
                <c:pt idx="7">
                  <c:v>0.33700000000000002</c:v>
                </c:pt>
                <c:pt idx="8">
                  <c:v>0.38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38A-4BC0-9CA6-481C022B92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057080"/>
        <c:axId val="540058840"/>
      </c:scatterChart>
      <c:valAx>
        <c:axId val="540057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(min)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058840"/>
        <c:crosses val="autoZero"/>
        <c:crossBetween val="midCat"/>
      </c:valAx>
      <c:valAx>
        <c:axId val="540058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  <a:r>
                  <a:rPr lang="en-GB" baseline="-25000"/>
                  <a:t>590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057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E.Coli</a:t>
            </a:r>
            <a:r>
              <a:rPr lang="en-US" baseline="0"/>
              <a:t> Dup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'Optical Density'!$F$8</c:f>
              <c:strCache>
                <c:ptCount val="1"/>
                <c:pt idx="0">
                  <c:v>E.Coli OD DUP (ABS)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'Optical Density'!$D$9:$D$17</c:f>
              <c:numCache>
                <c:formatCode>General</c:formatCode>
                <c:ptCount val="9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</c:numCache>
            </c:numRef>
          </c:xVal>
          <c:yVal>
            <c:numRef>
              <c:f>'Optical Density'!$F$9:$F$17</c:f>
              <c:numCache>
                <c:formatCode>General</c:formatCode>
                <c:ptCount val="9"/>
                <c:pt idx="0">
                  <c:v>0</c:v>
                </c:pt>
                <c:pt idx="1">
                  <c:v>0.04</c:v>
                </c:pt>
                <c:pt idx="2">
                  <c:v>5.8999999999999997E-2</c:v>
                </c:pt>
                <c:pt idx="3">
                  <c:v>0.10100000000000001</c:v>
                </c:pt>
                <c:pt idx="4">
                  <c:v>0.16200000000000001</c:v>
                </c:pt>
                <c:pt idx="5">
                  <c:v>0.24299999999999999</c:v>
                </c:pt>
                <c:pt idx="6">
                  <c:v>0.309</c:v>
                </c:pt>
                <c:pt idx="7">
                  <c:v>0.34799999999999998</c:v>
                </c:pt>
                <c:pt idx="8">
                  <c:v>0.40200000000000002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00-4D46-B0A8-0CC66EA2B9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1342344"/>
        <c:axId val="751343048"/>
      </c:scatterChart>
      <c:valAx>
        <c:axId val="751342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(min)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343048"/>
        <c:crosses val="autoZero"/>
        <c:crossBetween val="midCat"/>
      </c:valAx>
      <c:valAx>
        <c:axId val="751343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  <a:r>
                  <a:rPr lang="en-GB" baseline="-25000"/>
                  <a:t>590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342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S.Aureus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'Optical Density'!$L$9:$L$12</c:f>
              <c:numCache>
                <c:formatCode>General</c:formatCode>
                <c:ptCount val="4"/>
                <c:pt idx="0">
                  <c:v>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</c:numCache>
            </c:numRef>
          </c:xVal>
          <c:yVal>
            <c:numRef>
              <c:f>'Optical Density'!$M$10:$M$12</c:f>
              <c:numCache>
                <c:formatCode>General</c:formatCode>
                <c:ptCount val="3"/>
                <c:pt idx="0">
                  <c:v>4.2000000000000003E-2</c:v>
                </c:pt>
                <c:pt idx="1">
                  <c:v>4.2000000000000003E-2</c:v>
                </c:pt>
                <c:pt idx="2">
                  <c:v>4.4999999999999998E-2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CC0-4858-A0BF-B2AE207FE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067288"/>
        <c:axId val="540067640"/>
      </c:scatterChart>
      <c:valAx>
        <c:axId val="540067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(min)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067640"/>
        <c:crosses val="autoZero"/>
        <c:crossBetween val="midCat"/>
      </c:valAx>
      <c:valAx>
        <c:axId val="540067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  <a:r>
                  <a:rPr lang="en-GB" baseline="-25000"/>
                  <a:t>590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067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103136</xdr:colOff>
      <xdr:row>52</xdr:row>
      <xdr:rowOff>171727</xdr:rowOff>
    </xdr:from>
    <xdr:to>
      <xdr:col>7</xdr:col>
      <xdr:colOff>412750</xdr:colOff>
      <xdr:row>95</xdr:row>
      <xdr:rowOff>73025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0998A7-A13A-456A-A2AF-A722688167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78</xdr:row>
      <xdr:rowOff>97212</xdr:rowOff>
    </xdr:from>
    <xdr:to>
      <xdr:col>8</xdr:col>
      <xdr:colOff>314477</xdr:colOff>
      <xdr:row>120</xdr:row>
      <xdr:rowOff>190499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3BBB77-9C0D-C403-207C-9E0245D2EA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13608</xdr:colOff>
      <xdr:row>135</xdr:row>
      <xdr:rowOff>13607</xdr:rowOff>
    </xdr:from>
    <xdr:to>
      <xdr:col>8</xdr:col>
      <xdr:colOff>204107</xdr:colOff>
      <xdr:row>180</xdr:row>
      <xdr:rowOff>135341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751C68A-C7CA-450F-8A44-869918B710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142873</xdr:colOff>
      <xdr:row>76</xdr:row>
      <xdr:rowOff>57149</xdr:rowOff>
    </xdr:from>
    <xdr:to>
      <xdr:col>21</xdr:col>
      <xdr:colOff>285750</xdr:colOff>
      <xdr:row>100</xdr:row>
      <xdr:rowOff>13607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D6B8758-E88B-94B9-9657-569D776244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524669</xdr:colOff>
      <xdr:row>71</xdr:row>
      <xdr:rowOff>116417</xdr:rowOff>
    </xdr:from>
    <xdr:to>
      <xdr:col>16</xdr:col>
      <xdr:colOff>518584</xdr:colOff>
      <xdr:row>99</xdr:row>
      <xdr:rowOff>136828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8969413B-5AB1-ADFF-DD33-3309984521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317500</xdr:colOff>
      <xdr:row>113</xdr:row>
      <xdr:rowOff>174625</xdr:rowOff>
    </xdr:from>
    <xdr:to>
      <xdr:col>31</xdr:col>
      <xdr:colOff>406665</xdr:colOff>
      <xdr:row>142</xdr:row>
      <xdr:rowOff>4536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7C5FFBF-7007-49B7-B737-1F50565318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585108</xdr:colOff>
      <xdr:row>18</xdr:row>
      <xdr:rowOff>167443</xdr:rowOff>
    </xdr:from>
    <xdr:to>
      <xdr:col>7</xdr:col>
      <xdr:colOff>530678</xdr:colOff>
      <xdr:row>38</xdr:row>
      <xdr:rowOff>68036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13B63F7-1650-D3A5-B152-436A4AF47E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517071</xdr:colOff>
      <xdr:row>41</xdr:row>
      <xdr:rowOff>14816</xdr:rowOff>
    </xdr:from>
    <xdr:to>
      <xdr:col>8</xdr:col>
      <xdr:colOff>27214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7842A3E-E5B4-2291-91A6-A5B34E2341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95251</xdr:colOff>
      <xdr:row>18</xdr:row>
      <xdr:rowOff>108858</xdr:rowOff>
    </xdr:from>
    <xdr:to>
      <xdr:col>17</xdr:col>
      <xdr:colOff>408215</xdr:colOff>
      <xdr:row>36</xdr:row>
      <xdr:rowOff>176894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7C13FE9-A843-3695-A7BF-512495A59B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95249</xdr:colOff>
      <xdr:row>40</xdr:row>
      <xdr:rowOff>108857</xdr:rowOff>
    </xdr:from>
    <xdr:to>
      <xdr:col>18</xdr:col>
      <xdr:colOff>204107</xdr:colOff>
      <xdr:row>61</xdr:row>
      <xdr:rowOff>176893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C77053C-5042-A5A7-7401-720D9CBA99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852" displayName="Table852" ref="C7:G11" totalsRowShown="0" headerRowDxfId="73">
  <autoFilter ref="C7:G11" xr:uid="{00000000-0009-0000-0100-000001000000}"/>
  <tableColumns count="5">
    <tableColumn id="1" xr3:uid="{00000000-0010-0000-0000-000001000000}" name="-"/>
    <tableColumn id="2" xr3:uid="{00000000-0010-0000-0000-000002000000}" name="Dilution factor"/>
    <tableColumn id="3" xr3:uid="{00000000-0010-0000-0000-000003000000}" name="N° of colonies on plate"/>
    <tableColumn id="4" xr3:uid="{00000000-0010-0000-0000-000004000000}" name="Reciprocal of dilution sample"/>
    <tableColumn id="5" xr3:uid="{00000000-0010-0000-0000-000005000000}" name="N° bacteria/mL" dataDxfId="72">
      <calculatedColumnFormula>E8*F8</calculatedColumnFormula>
    </tableColumn>
  </tableColumns>
  <tableStyleInfo name="TableStyleLight15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e10" displayName="Table10" ref="C48:G50" totalsRowShown="0" headerRowDxfId="24">
  <autoFilter ref="C48:G50" xr:uid="{00000000-0009-0000-0100-00000A000000}"/>
  <tableColumns count="5">
    <tableColumn id="1" xr3:uid="{00000000-0010-0000-0900-000001000000}" name="0,8 mol/L ADMH"/>
    <tableColumn id="2" xr3:uid="{00000000-0010-0000-0900-000002000000}" name="Dilution Factor" dataDxfId="23"/>
    <tableColumn id="3" xr3:uid="{00000000-0010-0000-0900-000003000000}" name="N° of colonies on plate"/>
    <tableColumn id="4" xr3:uid="{00000000-0010-0000-0900-000004000000}" name="Reciprocal of dilution sample" dataDxfId="22"/>
    <tableColumn id="5" xr3:uid="{00000000-0010-0000-0900-000005000000}" name="N° bacteria/mL" dataDxfId="21">
      <calculatedColumnFormula>E49*F49</calculatedColumnFormula>
    </tableColumn>
  </tableColumns>
  <tableStyleInfo name="TableStyleLight15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le11" displayName="Table11" ref="C51:G52" totalsRowShown="0" headerRowDxfId="20" dataDxfId="19">
  <autoFilter ref="C51:G52" xr:uid="{00000000-0009-0000-0100-00000B000000}"/>
  <tableColumns count="5">
    <tableColumn id="1" xr3:uid="{00000000-0010-0000-0A00-000001000000}" name="0,8mol/L ADMH DUP1" dataDxfId="18"/>
    <tableColumn id="2" xr3:uid="{00000000-0010-0000-0A00-000002000000}" name="Dilution Factor" dataDxfId="17">
      <calculatedColumnFormula>10^6</calculatedColumnFormula>
    </tableColumn>
    <tableColumn id="3" xr3:uid="{00000000-0010-0000-0A00-000003000000}" name="N° of colonies on plate" dataDxfId="16"/>
    <tableColumn id="4" xr3:uid="{00000000-0010-0000-0A00-000004000000}" name="Reciprocal of dilution sample" dataDxfId="15">
      <calculatedColumnFormula>10^6</calculatedColumnFormula>
    </tableColumn>
    <tableColumn id="5" xr3:uid="{00000000-0010-0000-0A00-000005000000}" name="N° bacteria/mL" dataDxfId="14">
      <calculatedColumnFormula>E52*F52</calculatedColumnFormula>
    </tableColumn>
  </tableColumns>
  <tableStyleInfo name="TableStyleLight15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le12" displayName="Table12" ref="C6:G7" totalsRowShown="0" headerRowDxfId="13" dataDxfId="12">
  <autoFilter ref="C6:G7" xr:uid="{00000000-0009-0000-0100-00000C000000}"/>
  <tableColumns count="5">
    <tableColumn id="1" xr3:uid="{00000000-0010-0000-0B00-000001000000}" name="E.coli Blank (Broth)" dataDxfId="11"/>
    <tableColumn id="2" xr3:uid="{00000000-0010-0000-0B00-000002000000}" name="Dilution Factor" dataDxfId="10">
      <calculatedColumnFormula>10^-6</calculatedColumnFormula>
    </tableColumn>
    <tableColumn id="3" xr3:uid="{00000000-0010-0000-0B00-000003000000}" name="N° of colonies on plate" dataDxfId="9"/>
    <tableColumn id="4" xr3:uid="{00000000-0010-0000-0B00-000004000000}" name="Reciprocal of dilution sample" dataDxfId="8">
      <calculatedColumnFormula>10^6</calculatedColumnFormula>
    </tableColumn>
    <tableColumn id="5" xr3:uid="{00000000-0010-0000-0B00-000005000000}" name="N° bacteria/mL" dataDxfId="7">
      <calculatedColumnFormula>E7*F7</calculatedColumnFormula>
    </tableColumn>
  </tableColumns>
  <tableStyleInfo name="TableStyleLight15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Table13" displayName="Table13" ref="C8:G10" totalsRowShown="0" headerRowDxfId="6" dataDxfId="5">
  <autoFilter ref="C8:G10" xr:uid="{00000000-0009-0000-0100-00000D000000}"/>
  <tableColumns count="5">
    <tableColumn id="1" xr3:uid="{00000000-0010-0000-0C00-000001000000}" name="E.coli Blank (Broth) DUP1" dataDxfId="4"/>
    <tableColumn id="2" xr3:uid="{00000000-0010-0000-0C00-000002000000}" name="Dilution Factor" dataDxfId="3"/>
    <tableColumn id="3" xr3:uid="{00000000-0010-0000-0C00-000003000000}" name="N° of colonies on plate" dataDxfId="2"/>
    <tableColumn id="4" xr3:uid="{00000000-0010-0000-0C00-000004000000}" name="Reciprocal of dilution sample" dataDxfId="1"/>
    <tableColumn id="5" xr3:uid="{00000000-0010-0000-0C00-000005000000}" name="N° bacteria/mL" dataDxfId="0">
      <calculatedColumnFormula>E9*F9</calculatedColumnFormula>
    </tableColumn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1063" displayName="Table1063" ref="C21:G27" totalsRowShown="0" headerRowDxfId="71">
  <autoFilter ref="C21:G27" xr:uid="{00000000-0009-0000-0100-000002000000}"/>
  <tableColumns count="5">
    <tableColumn id="1" xr3:uid="{00000000-0010-0000-0100-000001000000}" name="-"/>
    <tableColumn id="2" xr3:uid="{00000000-0010-0000-0100-000002000000}" name="Dilution factor"/>
    <tableColumn id="3" xr3:uid="{00000000-0010-0000-0100-000003000000}" name="N° of colonies on plate"/>
    <tableColumn id="4" xr3:uid="{00000000-0010-0000-0100-000004000000}" name="Reciprocal of dilution sample" dataDxfId="70"/>
    <tableColumn id="5" xr3:uid="{00000000-0010-0000-0100-000005000000}" name="N° bacteria/mL" dataDxfId="69">
      <calculatedColumnFormula>E22*F22</calculatedColumnFormula>
    </tableColumn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1174" displayName="Table1174" ref="C33:G39" totalsRowShown="0" headerRowDxfId="68">
  <autoFilter ref="C33:G39" xr:uid="{00000000-0009-0000-0100-000003000000}"/>
  <tableColumns count="5">
    <tableColumn id="1" xr3:uid="{00000000-0010-0000-0200-000001000000}" name="-"/>
    <tableColumn id="2" xr3:uid="{00000000-0010-0000-0200-000002000000}" name="Dilution factor" dataDxfId="67">
      <calculatedColumnFormula>10^-5</calculatedColumnFormula>
    </tableColumn>
    <tableColumn id="3" xr3:uid="{00000000-0010-0000-0200-000003000000}" name="N° of colonies on plate"/>
    <tableColumn id="4" xr3:uid="{00000000-0010-0000-0200-000004000000}" name="Reciprocal of dilution sample" dataDxfId="66">
      <calculatedColumnFormula>10^5</calculatedColumnFormula>
    </tableColumn>
    <tableColumn id="5" xr3:uid="{00000000-0010-0000-0200-000005000000}" name="N° bacteria/mL" dataDxfId="65">
      <calculatedColumnFormula>E34*F34</calculatedColumnFormula>
    </tableColumn>
  </tableColumns>
  <tableStyleInfo name="TableStyleLight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4" displayName="Table4" ref="C16:G17" totalsRowShown="0" headerRowDxfId="64" totalsRowDxfId="61" headerRowBorderDxfId="63" tableBorderDxfId="62" totalsRowBorderDxfId="60">
  <autoFilter ref="C16:G17" xr:uid="{00000000-0009-0000-0100-000004000000}"/>
  <tableColumns count="5">
    <tableColumn id="1" xr3:uid="{00000000-0010-0000-0300-000001000000}" name="0,2mol/L ADMH" dataDxfId="59" totalsRowDxfId="58"/>
    <tableColumn id="2" xr3:uid="{00000000-0010-0000-0300-000002000000}" name="Dilution Factor" dataDxfId="57" totalsRowDxfId="56">
      <calculatedColumnFormula>10^-5</calculatedColumnFormula>
    </tableColumn>
    <tableColumn id="3" xr3:uid="{00000000-0010-0000-0300-000003000000}" name="N° of colonies on plate" dataDxfId="55" totalsRowDxfId="54"/>
    <tableColumn id="4" xr3:uid="{00000000-0010-0000-0300-000004000000}" name="Reciprocal of dilution sample" dataDxfId="53" totalsRowDxfId="52">
      <calculatedColumnFormula>10^5</calculatedColumnFormula>
    </tableColumn>
    <tableColumn id="5" xr3:uid="{00000000-0010-0000-0300-000005000000}" name="N° bacteria/mL" dataDxfId="51" totalsRowDxfId="50">
      <calculatedColumnFormula>Table4[[#This Row],[N° of colonies on plate]]*Table4[[#This Row],[Reciprocal of dilution sample]]</calculatedColumnFormula>
    </tableColumn>
  </tableColumns>
  <tableStyleInfo name="TableStyleLight15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5" displayName="Table5" ref="C18:G21" totalsRowShown="0" headerRowDxfId="49" tableBorderDxfId="48">
  <autoFilter ref="C18:G21" xr:uid="{00000000-0009-0000-0100-000005000000}"/>
  <tableColumns count="5">
    <tableColumn id="1" xr3:uid="{00000000-0010-0000-0400-000001000000}" name="0,2mol/ ADMH DUP1"/>
    <tableColumn id="2" xr3:uid="{00000000-0010-0000-0400-000002000000}" name="Dilution Factor" dataDxfId="47"/>
    <tableColumn id="3" xr3:uid="{00000000-0010-0000-0400-000003000000}" name="N° of colonies on plate" dataDxfId="46"/>
    <tableColumn id="4" xr3:uid="{00000000-0010-0000-0400-000004000000}" name="Reciprocal of dilution sample" dataDxfId="45"/>
    <tableColumn id="5" xr3:uid="{00000000-0010-0000-0400-000005000000}" name="N° bacteria/mL" dataDxfId="44">
      <calculatedColumnFormula>E19*F19</calculatedColumn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6" displayName="Table6" ref="C28:G29" totalsRowShown="0" headerRowDxfId="43">
  <autoFilter ref="C28:G29" xr:uid="{00000000-0009-0000-0100-000006000000}"/>
  <tableColumns count="5">
    <tableColumn id="1" xr3:uid="{00000000-0010-0000-0500-000001000000}" name="0,4mol/L ADMH"/>
    <tableColumn id="2" xr3:uid="{00000000-0010-0000-0500-000002000000}" name="Dilution Factor" dataDxfId="42">
      <calculatedColumnFormula>10^-10</calculatedColumnFormula>
    </tableColumn>
    <tableColumn id="3" xr3:uid="{00000000-0010-0000-0500-000003000000}" name="N° of colonies on plate"/>
    <tableColumn id="4" xr3:uid="{00000000-0010-0000-0500-000004000000}" name="Reciprocal of dilution sample" dataDxfId="41">
      <calculatedColumnFormula>10^10</calculatedColumnFormula>
    </tableColumn>
    <tableColumn id="5" xr3:uid="{00000000-0010-0000-0500-000005000000}" name="N° bacteria/mL" dataDxfId="40">
      <calculatedColumnFormula>E29*F29</calculatedColumnFormula>
    </tableColumn>
  </tableColumns>
  <tableStyleInfo name="TableStyleLight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7" displayName="Table7" ref="C30:G32" totalsRowShown="0" headerRowDxfId="39">
  <autoFilter ref="C30:G32" xr:uid="{00000000-0009-0000-0100-000007000000}"/>
  <tableColumns count="5">
    <tableColumn id="1" xr3:uid="{00000000-0010-0000-0600-000001000000}" name="0,4mol/L ADMH DUP1"/>
    <tableColumn id="2" xr3:uid="{00000000-0010-0000-0600-000002000000}" name="Dilution Factor" dataDxfId="38">
      <calculatedColumnFormula>10^-4</calculatedColumnFormula>
    </tableColumn>
    <tableColumn id="3" xr3:uid="{00000000-0010-0000-0600-000003000000}" name="N° of colonies on plate"/>
    <tableColumn id="4" xr3:uid="{00000000-0010-0000-0600-000004000000}" name="Reciprocal of dilution sample" dataDxfId="37">
      <calculatedColumnFormula>10^4</calculatedColumnFormula>
    </tableColumn>
    <tableColumn id="5" xr3:uid="{00000000-0010-0000-0600-000005000000}" name="N° bacteria/mL" dataDxfId="36">
      <calculatedColumnFormula>E31*F31</calculatedColumnFormula>
    </tableColumn>
  </tableColumns>
  <tableStyleInfo name="TableStyleLight15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le8" displayName="Table8" ref="C38:G39" totalsRowShown="0" headerRowDxfId="35" dataDxfId="34">
  <autoFilter ref="C38:G39" xr:uid="{00000000-0009-0000-0100-000008000000}"/>
  <tableColumns count="5">
    <tableColumn id="1" xr3:uid="{00000000-0010-0000-0700-000001000000}" name="0,6mol/L ADMH" dataDxfId="33"/>
    <tableColumn id="2" xr3:uid="{00000000-0010-0000-0700-000002000000}" name="Dilution Factor" dataDxfId="32">
      <calculatedColumnFormula>10^-4</calculatedColumnFormula>
    </tableColumn>
    <tableColumn id="3" xr3:uid="{00000000-0010-0000-0700-000003000000}" name="N° of colonies on plate" dataDxfId="31"/>
    <tableColumn id="4" xr3:uid="{00000000-0010-0000-0700-000004000000}" name="Reciprocal of dilution sample" dataDxfId="30">
      <calculatedColumnFormula>10^4</calculatedColumnFormula>
    </tableColumn>
    <tableColumn id="5" xr3:uid="{00000000-0010-0000-0700-000005000000}" name="N° bacteria/mL" dataDxfId="29">
      <calculatedColumnFormula>E39*F39</calculatedColumnFormula>
    </tableColumn>
  </tableColumns>
  <tableStyleInfo name="TableStyleLight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le9" displayName="Table9" ref="C40:G42" totalsRowShown="0" headerRowDxfId="28">
  <autoFilter ref="C40:G42" xr:uid="{00000000-0009-0000-0100-000009000000}"/>
  <tableColumns count="5">
    <tableColumn id="1" xr3:uid="{00000000-0010-0000-0800-000001000000}" name="0,6mol/L ADMH DUP1"/>
    <tableColumn id="2" xr3:uid="{00000000-0010-0000-0800-000002000000}" name="Dilution Factor" dataDxfId="27">
      <calculatedColumnFormula>10^-6</calculatedColumnFormula>
    </tableColumn>
    <tableColumn id="3" xr3:uid="{00000000-0010-0000-0800-000003000000}" name="N° of colonies on plate"/>
    <tableColumn id="4" xr3:uid="{00000000-0010-0000-0800-000004000000}" name="Reciprocal of dilution sample" dataDxfId="26">
      <calculatedColumnFormula>10^6</calculatedColumnFormula>
    </tableColumn>
    <tableColumn id="5" xr3:uid="{00000000-0010-0000-0800-000005000000}" name="N° bacteria/mL" dataDxfId="25">
      <calculatedColumnFormula>E41*F41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47"/>
  <sheetViews>
    <sheetView topLeftCell="C85" zoomScale="60" zoomScaleNormal="60" workbookViewId="0">
      <selection activeCell="S32" sqref="S32"/>
    </sheetView>
  </sheetViews>
  <sheetFormatPr defaultColWidth="12.5703125" defaultRowHeight="15.75" x14ac:dyDescent="0.25"/>
  <cols>
    <col min="1" max="2" width="12.5703125" style="2"/>
    <col min="3" max="3" width="81.140625" style="2" customWidth="1"/>
    <col min="4" max="4" width="24" style="2" customWidth="1"/>
    <col min="5" max="5" width="34.28515625" style="2" customWidth="1"/>
    <col min="6" max="6" width="43.140625" style="2" customWidth="1"/>
    <col min="7" max="7" width="23.85546875" style="2" customWidth="1"/>
    <col min="8" max="10" width="12.5703125" style="2"/>
    <col min="11" max="11" width="12.28515625" style="2" customWidth="1"/>
    <col min="12" max="12" width="20.7109375" style="2" customWidth="1"/>
    <col min="13" max="13" width="12.5703125" style="2"/>
    <col min="14" max="14" width="20.5703125" style="2" customWidth="1"/>
    <col min="15" max="15" width="15" style="2" customWidth="1"/>
    <col min="16" max="16" width="20.7109375" style="2" customWidth="1"/>
    <col min="17" max="17" width="18" style="2" customWidth="1"/>
    <col min="18" max="18" width="37.5703125" style="2" customWidth="1"/>
    <col min="19" max="19" width="12.5703125" style="2"/>
    <col min="20" max="20" width="20" style="2" customWidth="1"/>
    <col min="21" max="16384" width="12.5703125" style="2"/>
  </cols>
  <sheetData>
    <row r="1" spans="1:18" x14ac:dyDescent="0.25">
      <c r="A1" s="2" t="s">
        <v>74</v>
      </c>
    </row>
    <row r="2" spans="1:18" x14ac:dyDescent="0.25">
      <c r="E2" s="3" t="s">
        <v>50</v>
      </c>
      <c r="F2" s="3"/>
      <c r="K2" s="3"/>
      <c r="N2" s="3" t="s">
        <v>61</v>
      </c>
    </row>
    <row r="4" spans="1:18" x14ac:dyDescent="0.25">
      <c r="N4" s="71"/>
      <c r="O4" s="66" t="s">
        <v>65</v>
      </c>
      <c r="P4" s="66" t="s">
        <v>66</v>
      </c>
      <c r="Q4" s="66" t="s">
        <v>67</v>
      </c>
      <c r="R4" s="66" t="s">
        <v>68</v>
      </c>
    </row>
    <row r="5" spans="1:18" x14ac:dyDescent="0.25">
      <c r="D5" s="2" t="s">
        <v>0</v>
      </c>
      <c r="E5" s="4" t="s">
        <v>49</v>
      </c>
      <c r="K5" s="4"/>
      <c r="N5" s="66" t="s">
        <v>62</v>
      </c>
      <c r="O5" s="73">
        <f>G8</f>
        <v>20000000</v>
      </c>
      <c r="P5" s="70">
        <f>G9</f>
        <v>11100000</v>
      </c>
      <c r="Q5" s="72"/>
      <c r="R5" s="71" t="s">
        <v>1</v>
      </c>
    </row>
    <row r="6" spans="1:18" x14ac:dyDescent="0.25">
      <c r="N6" s="75"/>
      <c r="P6" s="76">
        <f>G10</f>
        <v>28000000</v>
      </c>
      <c r="Q6" s="77"/>
      <c r="R6" s="78" t="s">
        <v>1</v>
      </c>
    </row>
    <row r="7" spans="1:18" x14ac:dyDescent="0.25">
      <c r="C7" s="2" t="s">
        <v>1</v>
      </c>
      <c r="D7" s="4" t="s">
        <v>2</v>
      </c>
      <c r="E7" s="4" t="s">
        <v>3</v>
      </c>
      <c r="F7" s="4" t="s">
        <v>4</v>
      </c>
      <c r="G7" s="4" t="s">
        <v>5</v>
      </c>
      <c r="L7" s="4"/>
      <c r="M7" s="4"/>
      <c r="N7" s="66" t="s">
        <v>63</v>
      </c>
      <c r="O7" s="68" t="s">
        <v>1</v>
      </c>
      <c r="P7" s="68" t="s">
        <v>1</v>
      </c>
      <c r="Q7" s="68">
        <f>G22</f>
        <v>8100000</v>
      </c>
      <c r="R7" s="79">
        <f>G25</f>
        <v>3220000</v>
      </c>
    </row>
    <row r="8" spans="1:18" x14ac:dyDescent="0.25">
      <c r="B8" s="57"/>
      <c r="C8" s="6" t="s">
        <v>7</v>
      </c>
      <c r="D8" s="7">
        <f>10^-7</f>
        <v>9.9999999999999995E-8</v>
      </c>
      <c r="E8" s="8">
        <f>2</f>
        <v>2</v>
      </c>
      <c r="F8" s="7">
        <f>10^7</f>
        <v>10000000</v>
      </c>
      <c r="G8" s="7">
        <f>E8*F8</f>
        <v>20000000</v>
      </c>
      <c r="M8" s="4"/>
      <c r="N8" s="75"/>
      <c r="O8" s="80" t="s">
        <v>1</v>
      </c>
      <c r="P8" s="78" t="s">
        <v>1</v>
      </c>
      <c r="Q8" s="80">
        <f>G23</f>
        <v>3000000</v>
      </c>
      <c r="R8" s="81">
        <f>G26</f>
        <v>2300000</v>
      </c>
    </row>
    <row r="9" spans="1:18" x14ac:dyDescent="0.25">
      <c r="C9" s="4" t="s">
        <v>38</v>
      </c>
      <c r="D9" s="10">
        <f>10^-5</f>
        <v>1.0000000000000001E-5</v>
      </c>
      <c r="E9" s="2">
        <f>111</f>
        <v>111</v>
      </c>
      <c r="F9" s="10">
        <f>10^5</f>
        <v>100000</v>
      </c>
      <c r="G9" s="10">
        <f>E9*F9</f>
        <v>11100000</v>
      </c>
      <c r="M9" s="4"/>
      <c r="N9" s="66" t="s">
        <v>64</v>
      </c>
      <c r="O9" s="68">
        <f>G34</f>
        <v>10500000</v>
      </c>
      <c r="P9" s="68">
        <f>G37</f>
        <v>9000000</v>
      </c>
      <c r="Q9" s="71" t="s">
        <v>1</v>
      </c>
      <c r="R9" s="82" t="s">
        <v>1</v>
      </c>
    </row>
    <row r="10" spans="1:18" x14ac:dyDescent="0.25">
      <c r="C10" s="6" t="s">
        <v>39</v>
      </c>
      <c r="D10" s="7">
        <f>10^-6</f>
        <v>9.9999999999999995E-7</v>
      </c>
      <c r="E10" s="8">
        <f>28</f>
        <v>28</v>
      </c>
      <c r="F10" s="7">
        <f>10^6</f>
        <v>1000000</v>
      </c>
      <c r="G10" s="7">
        <f>E10*F10</f>
        <v>28000000</v>
      </c>
      <c r="M10" s="4"/>
      <c r="N10" s="74"/>
      <c r="O10" s="67">
        <f>G35</f>
        <v>12400000</v>
      </c>
      <c r="P10" s="67">
        <f>G38</f>
        <v>5600000</v>
      </c>
      <c r="Q10" s="69" t="s">
        <v>1</v>
      </c>
      <c r="R10" s="83" t="s">
        <v>1</v>
      </c>
    </row>
    <row r="11" spans="1:18" x14ac:dyDescent="0.25">
      <c r="C11" s="11" t="s">
        <v>8</v>
      </c>
      <c r="D11" s="12"/>
      <c r="E11" s="12"/>
      <c r="F11" s="12"/>
      <c r="G11" s="53">
        <f>AVERAGE(G9,G10)</f>
        <v>19550000</v>
      </c>
      <c r="M11" s="4"/>
      <c r="N11" s="4"/>
    </row>
    <row r="12" spans="1:18" s="61" customFormat="1" x14ac:dyDescent="0.25">
      <c r="M12" s="62"/>
      <c r="N12" s="84" t="s">
        <v>71</v>
      </c>
      <c r="O12" s="85">
        <f>AVERAGE(O5,O9,O10)</f>
        <v>14300000</v>
      </c>
      <c r="P12" s="85">
        <f>AVERAGE(P5,P6,P9,P10)</f>
        <v>13425000</v>
      </c>
      <c r="Q12" s="85">
        <f>AVERAGE(Q7,Q8)</f>
        <v>5550000</v>
      </c>
      <c r="R12" s="85">
        <f>AVERAGE(R7,R8)</f>
        <v>2760000</v>
      </c>
    </row>
    <row r="13" spans="1:18" s="61" customFormat="1" x14ac:dyDescent="0.25">
      <c r="M13" s="62"/>
      <c r="N13" s="84" t="s">
        <v>72</v>
      </c>
      <c r="O13" s="85">
        <f>STDEV(O5,O9,O10)</f>
        <v>5026927.4910227219</v>
      </c>
      <c r="P13" s="85">
        <f>STDEV(P5,P6,P9,P10)</f>
        <v>9977432.8695645295</v>
      </c>
      <c r="Q13" s="85">
        <f>STDEV(Q7,Q8)</f>
        <v>3606244.5840513925</v>
      </c>
      <c r="R13" s="85">
        <f>STDEV(R7,R8)</f>
        <v>650538.23869162367</v>
      </c>
    </row>
    <row r="14" spans="1:18" s="61" customFormat="1" x14ac:dyDescent="0.25">
      <c r="M14" s="62"/>
      <c r="N14" s="84" t="s">
        <v>73</v>
      </c>
      <c r="O14" s="85">
        <f>O13/SQRT(3)</f>
        <v>2902297.9401386986</v>
      </c>
      <c r="P14" s="85">
        <f>P13/SQRT(4)</f>
        <v>4988716.4347822648</v>
      </c>
      <c r="Q14" s="85">
        <f>Q13/SQRT(2)</f>
        <v>2550000</v>
      </c>
      <c r="R14" s="85">
        <f>R13/SQRT(2)</f>
        <v>459999.99999999994</v>
      </c>
    </row>
    <row r="15" spans="1:18" s="61" customFormat="1" x14ac:dyDescent="0.25">
      <c r="M15" s="62"/>
      <c r="N15" s="84" t="s">
        <v>69</v>
      </c>
      <c r="O15" s="85">
        <f>MAX(O5,O9,O10)</f>
        <v>20000000</v>
      </c>
      <c r="P15" s="85">
        <f>MAX(P5,P6,P9,P10)</f>
        <v>28000000</v>
      </c>
      <c r="Q15" s="85">
        <f>MAX(Q7,Q8)</f>
        <v>8100000</v>
      </c>
      <c r="R15" s="85">
        <f>MAX(R7,R8)</f>
        <v>3220000</v>
      </c>
    </row>
    <row r="16" spans="1:18" x14ac:dyDescent="0.25">
      <c r="C16" s="59"/>
      <c r="D16" s="60"/>
      <c r="E16" s="60"/>
      <c r="F16" s="60"/>
      <c r="G16" s="60"/>
      <c r="M16" s="4"/>
      <c r="N16" s="11" t="s">
        <v>70</v>
      </c>
      <c r="O16" s="13">
        <f>MIN(O5,O9,O10)</f>
        <v>10500000</v>
      </c>
      <c r="P16" s="13">
        <f>MIN(P5,P6,P9,P10)</f>
        <v>5600000</v>
      </c>
      <c r="Q16" s="13">
        <f>MIN(Q7,Q8)</f>
        <v>3000000</v>
      </c>
      <c r="R16" s="13">
        <f>MIN(R7,R8)</f>
        <v>2300000</v>
      </c>
    </row>
    <row r="17" spans="3:13" x14ac:dyDescent="0.25">
      <c r="D17" s="58"/>
      <c r="M17" s="4"/>
    </row>
    <row r="18" spans="3:13" x14ac:dyDescent="0.25">
      <c r="E18" s="4"/>
    </row>
    <row r="19" spans="3:13" x14ac:dyDescent="0.25">
      <c r="E19" s="4" t="s">
        <v>36</v>
      </c>
    </row>
    <row r="20" spans="3:13" x14ac:dyDescent="0.25">
      <c r="D20" s="4"/>
      <c r="E20" s="4"/>
      <c r="F20" s="4"/>
      <c r="G20" s="4"/>
      <c r="K20" s="4"/>
    </row>
    <row r="21" spans="3:13" x14ac:dyDescent="0.25">
      <c r="C21" s="2" t="s">
        <v>1</v>
      </c>
      <c r="D21" s="4" t="s">
        <v>2</v>
      </c>
      <c r="E21" s="4" t="s">
        <v>3</v>
      </c>
      <c r="F21" s="4" t="s">
        <v>4</v>
      </c>
      <c r="G21" s="4" t="s">
        <v>5</v>
      </c>
      <c r="K21" s="4"/>
    </row>
    <row r="22" spans="3:13" x14ac:dyDescent="0.25">
      <c r="C22" s="6" t="s">
        <v>9</v>
      </c>
      <c r="D22" s="7">
        <f>10^-5</f>
        <v>1.0000000000000001E-5</v>
      </c>
      <c r="E22" s="8">
        <f>81</f>
        <v>81</v>
      </c>
      <c r="F22" s="7">
        <f>10^5</f>
        <v>100000</v>
      </c>
      <c r="G22" s="7">
        <f>E22*F22</f>
        <v>8100000</v>
      </c>
      <c r="K22" s="4"/>
    </row>
    <row r="23" spans="3:13" x14ac:dyDescent="0.25">
      <c r="C23" s="14" t="s">
        <v>10</v>
      </c>
      <c r="D23" s="15">
        <f>10^-6</f>
        <v>9.9999999999999995E-7</v>
      </c>
      <c r="E23" s="16">
        <f>3</f>
        <v>3</v>
      </c>
      <c r="F23" s="15">
        <f>10^6</f>
        <v>1000000</v>
      </c>
      <c r="G23" s="15">
        <f>E23*F23</f>
        <v>3000000</v>
      </c>
      <c r="K23" s="4"/>
    </row>
    <row r="24" spans="3:13" x14ac:dyDescent="0.25">
      <c r="C24" s="11" t="s">
        <v>8</v>
      </c>
      <c r="D24" s="13"/>
      <c r="E24" s="12"/>
      <c r="F24" s="13"/>
      <c r="G24" s="53">
        <f>AVERAGE(G23,G22)</f>
        <v>5550000</v>
      </c>
    </row>
    <row r="25" spans="3:13" x14ac:dyDescent="0.25">
      <c r="C25" s="6" t="s">
        <v>40</v>
      </c>
      <c r="D25" s="7">
        <f>10^-4</f>
        <v>1E-4</v>
      </c>
      <c r="E25" s="8">
        <f>322</f>
        <v>322</v>
      </c>
      <c r="F25" s="7">
        <f>10^4</f>
        <v>10000</v>
      </c>
      <c r="G25" s="7">
        <f>E25*F25</f>
        <v>3220000</v>
      </c>
    </row>
    <row r="26" spans="3:13" x14ac:dyDescent="0.25">
      <c r="C26" s="14" t="s">
        <v>41</v>
      </c>
      <c r="D26" s="15">
        <f>10^-5</f>
        <v>1.0000000000000001E-5</v>
      </c>
      <c r="E26" s="16">
        <f>23</f>
        <v>23</v>
      </c>
      <c r="F26" s="15">
        <f>10^5</f>
        <v>100000</v>
      </c>
      <c r="G26" s="15">
        <f>E26*F26</f>
        <v>2300000</v>
      </c>
    </row>
    <row r="27" spans="3:13" x14ac:dyDescent="0.25">
      <c r="C27" s="11" t="s">
        <v>8</v>
      </c>
      <c r="D27" s="12"/>
      <c r="E27" s="12"/>
      <c r="F27" s="13"/>
      <c r="G27" s="53">
        <f>AVERAGE(G25,G26)</f>
        <v>2760000</v>
      </c>
    </row>
    <row r="30" spans="3:13" x14ac:dyDescent="0.25">
      <c r="D30" s="2" t="s">
        <v>0</v>
      </c>
      <c r="E30" s="4"/>
    </row>
    <row r="31" spans="3:13" x14ac:dyDescent="0.25">
      <c r="E31" s="4" t="s">
        <v>37</v>
      </c>
      <c r="K31" s="4"/>
    </row>
    <row r="33" spans="2:31" ht="16.5" thickBot="1" x14ac:dyDescent="0.3">
      <c r="C33" s="2" t="s">
        <v>1</v>
      </c>
      <c r="D33" s="17" t="s">
        <v>2</v>
      </c>
      <c r="E33" s="17" t="s">
        <v>3</v>
      </c>
      <c r="F33" s="17" t="s">
        <v>4</v>
      </c>
      <c r="G33" s="17" t="s">
        <v>5</v>
      </c>
    </row>
    <row r="34" spans="2:31" s="16" customFormat="1" x14ac:dyDescent="0.25">
      <c r="C34" s="18" t="s">
        <v>7</v>
      </c>
      <c r="D34" s="7">
        <f>10^-5</f>
        <v>1.0000000000000001E-5</v>
      </c>
      <c r="E34" s="8">
        <f>105</f>
        <v>105</v>
      </c>
      <c r="F34" s="7">
        <f>10^5</f>
        <v>100000</v>
      </c>
      <c r="G34" s="7">
        <f>E34*F34</f>
        <v>10500000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2:31" x14ac:dyDescent="0.25">
      <c r="C35" s="19" t="s">
        <v>11</v>
      </c>
      <c r="D35" s="10">
        <f>10^-5</f>
        <v>1.0000000000000001E-5</v>
      </c>
      <c r="E35" s="2">
        <v>124</v>
      </c>
      <c r="F35" s="10">
        <f>10^5</f>
        <v>100000</v>
      </c>
      <c r="G35" s="10">
        <f>E35*F35</f>
        <v>12400000</v>
      </c>
    </row>
    <row r="36" spans="2:31" s="16" customFormat="1" x14ac:dyDescent="0.25">
      <c r="C36" s="20" t="s">
        <v>8</v>
      </c>
      <c r="D36" s="13"/>
      <c r="E36" s="12"/>
      <c r="F36" s="13"/>
      <c r="G36" s="53">
        <f>AVERAGE(G35,G34)</f>
        <v>11450000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2:31" x14ac:dyDescent="0.25">
      <c r="C37" s="18" t="s">
        <v>12</v>
      </c>
      <c r="D37" s="7">
        <f>10^-6</f>
        <v>9.9999999999999995E-7</v>
      </c>
      <c r="E37" s="8">
        <f>9</f>
        <v>9</v>
      </c>
      <c r="F37" s="7">
        <f>10^6</f>
        <v>1000000</v>
      </c>
      <c r="G37" s="7">
        <f>E37*F37</f>
        <v>9000000</v>
      </c>
    </row>
    <row r="38" spans="2:31" x14ac:dyDescent="0.25">
      <c r="C38" s="19" t="s">
        <v>13</v>
      </c>
      <c r="D38" s="15">
        <f>10^-5</f>
        <v>1.0000000000000001E-5</v>
      </c>
      <c r="E38" s="16">
        <f>56</f>
        <v>56</v>
      </c>
      <c r="F38" s="15">
        <f>10^5</f>
        <v>100000</v>
      </c>
      <c r="G38" s="15">
        <f>E38*F38</f>
        <v>5600000</v>
      </c>
    </row>
    <row r="39" spans="2:31" x14ac:dyDescent="0.25">
      <c r="C39" s="11" t="s">
        <v>8</v>
      </c>
      <c r="D39" s="13"/>
      <c r="E39" s="12"/>
      <c r="F39" s="13"/>
      <c r="G39" s="53">
        <f>AVERAGE(G37,G38)</f>
        <v>7300000</v>
      </c>
    </row>
    <row r="43" spans="2:31" x14ac:dyDescent="0.25">
      <c r="C43" s="5" t="s">
        <v>48</v>
      </c>
      <c r="D43" s="5" t="s">
        <v>14</v>
      </c>
      <c r="I43" s="9"/>
      <c r="J43" s="5" t="s">
        <v>56</v>
      </c>
      <c r="K43" s="5" t="s">
        <v>57</v>
      </c>
      <c r="L43" s="5" t="s">
        <v>55</v>
      </c>
    </row>
    <row r="44" spans="2:31" x14ac:dyDescent="0.25">
      <c r="B44" s="2" t="s">
        <v>57</v>
      </c>
      <c r="C44" s="9" t="s">
        <v>53</v>
      </c>
      <c r="D44" s="21">
        <f>G36</f>
        <v>11450000</v>
      </c>
      <c r="I44" s="5" t="s">
        <v>28</v>
      </c>
      <c r="J44" s="21">
        <f>D45</f>
        <v>7300000</v>
      </c>
      <c r="K44" s="21">
        <f>D44</f>
        <v>11450000</v>
      </c>
      <c r="L44" s="64">
        <f>((K44-J44)/K44)</f>
        <v>0.36244541484716158</v>
      </c>
    </row>
    <row r="45" spans="2:31" x14ac:dyDescent="0.25">
      <c r="B45" s="2" t="s">
        <v>56</v>
      </c>
      <c r="C45" s="9" t="s">
        <v>15</v>
      </c>
      <c r="D45" s="21">
        <f>G39</f>
        <v>7300000</v>
      </c>
      <c r="I45" s="5" t="s">
        <v>54</v>
      </c>
      <c r="J45" s="21">
        <f>D47</f>
        <v>2760000</v>
      </c>
      <c r="K45" s="21">
        <f>D46</f>
        <v>5550000</v>
      </c>
      <c r="L45" s="64">
        <f>((K45-J45)/K45)</f>
        <v>0.50270270270270268</v>
      </c>
    </row>
    <row r="46" spans="2:31" x14ac:dyDescent="0.25">
      <c r="B46" s="2" t="s">
        <v>59</v>
      </c>
      <c r="C46" s="9" t="s">
        <v>52</v>
      </c>
      <c r="D46" s="21">
        <f>G24</f>
        <v>5550000</v>
      </c>
    </row>
    <row r="47" spans="2:31" x14ac:dyDescent="0.25">
      <c r="B47" s="2" t="s">
        <v>58</v>
      </c>
      <c r="C47" s="9" t="s">
        <v>16</v>
      </c>
      <c r="D47" s="21">
        <f>G27</f>
        <v>2760000</v>
      </c>
    </row>
  </sheetData>
  <phoneticPr fontId="23" type="noConversion"/>
  <pageMargins left="0.75" right="0.75" top="1" bottom="1" header="0.5" footer="0.5"/>
  <pageSetup paperSize="9" orientation="portrait" horizontalDpi="4294967292" verticalDpi="4294967292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33"/>
  <sheetViews>
    <sheetView tabSelected="1" topLeftCell="A156" zoomScale="90" zoomScaleNormal="90" workbookViewId="0">
      <selection activeCell="S69" sqref="S69"/>
    </sheetView>
  </sheetViews>
  <sheetFormatPr defaultRowHeight="15" x14ac:dyDescent="0.25"/>
  <cols>
    <col min="3" max="3" width="48.28515625" customWidth="1"/>
    <col min="4" max="4" width="17.5703125" customWidth="1"/>
    <col min="5" max="5" width="23.5703125" customWidth="1"/>
    <col min="6" max="6" width="29.5703125" customWidth="1"/>
    <col min="7" max="7" width="18.28515625" customWidth="1"/>
    <col min="9" max="9" width="22.28515625" customWidth="1"/>
    <col min="10" max="10" width="23" customWidth="1"/>
    <col min="11" max="11" width="16.28515625" customWidth="1"/>
    <col min="12" max="12" width="14.85546875" bestFit="1" customWidth="1"/>
    <col min="13" max="13" width="19.140625" customWidth="1"/>
    <col min="14" max="14" width="10.5703125" customWidth="1"/>
    <col min="15" max="15" width="10.7109375" customWidth="1"/>
    <col min="16" max="16" width="15.5703125" customWidth="1"/>
    <col min="18" max="18" width="52.7109375" customWidth="1"/>
    <col min="19" max="19" width="24.5703125" customWidth="1"/>
    <col min="25" max="25" width="58.140625" customWidth="1"/>
    <col min="26" max="26" width="14.7109375" style="33" customWidth="1"/>
    <col min="27" max="27" width="25.42578125" customWidth="1"/>
    <col min="28" max="28" width="29.7109375" style="33" customWidth="1"/>
    <col min="29" max="29" width="16.42578125" style="33" customWidth="1"/>
    <col min="30" max="30" width="24.28515625" customWidth="1"/>
    <col min="31" max="31" width="20" customWidth="1"/>
    <col min="32" max="32" width="18.7109375" customWidth="1"/>
  </cols>
  <sheetData>
    <row r="1" spans="1:19" x14ac:dyDescent="0.25">
      <c r="A1" t="s">
        <v>74</v>
      </c>
      <c r="E1" s="1" t="s">
        <v>90</v>
      </c>
    </row>
    <row r="2" spans="1:19" x14ac:dyDescent="0.25">
      <c r="E2" s="63" t="s">
        <v>51</v>
      </c>
      <c r="S2" s="63"/>
    </row>
    <row r="6" spans="1:19" x14ac:dyDescent="0.25">
      <c r="C6" s="45" t="s">
        <v>7</v>
      </c>
      <c r="D6" s="45" t="s">
        <v>17</v>
      </c>
      <c r="E6" s="45" t="s">
        <v>3</v>
      </c>
      <c r="F6" s="45" t="s">
        <v>4</v>
      </c>
      <c r="G6" s="45" t="s">
        <v>5</v>
      </c>
    </row>
    <row r="7" spans="1:19" x14ac:dyDescent="0.25">
      <c r="C7" s="37"/>
      <c r="D7" s="39">
        <f>10^-6</f>
        <v>9.9999999999999995E-7</v>
      </c>
      <c r="E7" s="37">
        <v>246</v>
      </c>
      <c r="F7" s="39">
        <f>10^6</f>
        <v>1000000</v>
      </c>
      <c r="G7" s="39">
        <f>E7*F7</f>
        <v>246000000</v>
      </c>
    </row>
    <row r="8" spans="1:19" x14ac:dyDescent="0.25">
      <c r="C8" s="45" t="s">
        <v>42</v>
      </c>
      <c r="D8" s="45" t="s">
        <v>17</v>
      </c>
      <c r="E8" s="45" t="s">
        <v>3</v>
      </c>
      <c r="F8" s="45" t="s">
        <v>4</v>
      </c>
      <c r="G8" s="45" t="s">
        <v>5</v>
      </c>
    </row>
    <row r="9" spans="1:19" x14ac:dyDescent="0.25">
      <c r="C9" s="37"/>
      <c r="D9" s="39">
        <f>10^-5</f>
        <v>1.0000000000000001E-5</v>
      </c>
      <c r="E9" s="37">
        <v>180</v>
      </c>
      <c r="F9" s="39">
        <f>10^5</f>
        <v>100000</v>
      </c>
      <c r="G9" s="39">
        <f>E9*F9</f>
        <v>18000000</v>
      </c>
    </row>
    <row r="10" spans="1:19" x14ac:dyDescent="0.25">
      <c r="C10" s="37"/>
      <c r="D10" s="39">
        <f>10^-6</f>
        <v>9.9999999999999995E-7</v>
      </c>
      <c r="E10" s="37">
        <v>92</v>
      </c>
      <c r="F10" s="39">
        <f>10^6</f>
        <v>1000000</v>
      </c>
      <c r="G10" s="39">
        <f>E10*F10</f>
        <v>92000000</v>
      </c>
    </row>
    <row r="11" spans="1:19" x14ac:dyDescent="0.25">
      <c r="C11" s="36" t="s">
        <v>8</v>
      </c>
      <c r="D11" s="54"/>
      <c r="E11" s="54"/>
      <c r="F11" s="54"/>
      <c r="G11" s="54">
        <f>AVERAGE(Table12[N° bacteria/mL],G9,G10)</f>
        <v>118666666.66666667</v>
      </c>
    </row>
    <row r="12" spans="1:19" x14ac:dyDescent="0.25">
      <c r="D12" s="33"/>
      <c r="E12" s="33"/>
      <c r="F12" s="33"/>
    </row>
    <row r="13" spans="1:19" x14ac:dyDescent="0.25">
      <c r="D13" s="33"/>
      <c r="E13" s="33"/>
      <c r="F13" s="33"/>
    </row>
    <row r="14" spans="1:19" x14ac:dyDescent="0.25">
      <c r="D14" s="33"/>
      <c r="F14" s="33"/>
    </row>
    <row r="16" spans="1:19" x14ac:dyDescent="0.25">
      <c r="C16" s="40" t="s">
        <v>18</v>
      </c>
      <c r="D16" s="41" t="s">
        <v>17</v>
      </c>
      <c r="E16" s="41" t="s">
        <v>3</v>
      </c>
      <c r="F16" s="41" t="s">
        <v>4</v>
      </c>
      <c r="G16" s="42" t="s">
        <v>5</v>
      </c>
    </row>
    <row r="17" spans="3:27" x14ac:dyDescent="0.25">
      <c r="C17" s="28" t="s">
        <v>20</v>
      </c>
      <c r="D17" s="26">
        <f>10^-5</f>
        <v>1.0000000000000001E-5</v>
      </c>
      <c r="E17" s="25">
        <v>81</v>
      </c>
      <c r="F17" s="26">
        <f>10^5</f>
        <v>100000</v>
      </c>
      <c r="G17" s="26">
        <f>Table4[[#This Row],[N° of colonies on plate]]*Table4[[#This Row],[Reciprocal of dilution sample]]</f>
        <v>8100000</v>
      </c>
    </row>
    <row r="18" spans="3:27" x14ac:dyDescent="0.25">
      <c r="C18" s="43" t="s">
        <v>43</v>
      </c>
      <c r="D18" s="47" t="s">
        <v>17</v>
      </c>
      <c r="E18" s="48" t="s">
        <v>3</v>
      </c>
      <c r="F18" s="47" t="s">
        <v>4</v>
      </c>
      <c r="G18" s="49" t="s">
        <v>5</v>
      </c>
    </row>
    <row r="19" spans="3:27" x14ac:dyDescent="0.25">
      <c r="C19" s="23" t="s">
        <v>21</v>
      </c>
      <c r="D19" s="27">
        <f>10^-3</f>
        <v>1E-3</v>
      </c>
      <c r="E19" s="24">
        <v>168</v>
      </c>
      <c r="F19" s="27">
        <f>10^3</f>
        <v>1000</v>
      </c>
      <c r="G19" s="31">
        <f>E19*F19</f>
        <v>168000</v>
      </c>
    </row>
    <row r="20" spans="3:27" x14ac:dyDescent="0.25">
      <c r="C20" s="23"/>
      <c r="D20" s="27">
        <f>10^-4</f>
        <v>1E-4</v>
      </c>
      <c r="E20" s="24">
        <v>94</v>
      </c>
      <c r="F20" s="27">
        <f>10^4</f>
        <v>10000</v>
      </c>
      <c r="G20" s="31">
        <f>E20*F20</f>
        <v>940000</v>
      </c>
    </row>
    <row r="21" spans="3:27" x14ac:dyDescent="0.25">
      <c r="C21" s="30"/>
      <c r="D21" s="29">
        <f>10^-5</f>
        <v>1.0000000000000001E-5</v>
      </c>
      <c r="E21" s="22">
        <v>87</v>
      </c>
      <c r="F21" s="29">
        <f>10^5</f>
        <v>100000</v>
      </c>
      <c r="G21" s="32">
        <f>E21*F21</f>
        <v>8700000</v>
      </c>
    </row>
    <row r="22" spans="3:27" x14ac:dyDescent="0.25">
      <c r="C22" s="22"/>
      <c r="D22" s="29">
        <f>10^-6</f>
        <v>9.9999999999999995E-7</v>
      </c>
      <c r="E22" s="22">
        <v>92</v>
      </c>
      <c r="F22" s="29">
        <f>10^6</f>
        <v>1000000</v>
      </c>
      <c r="G22" s="29">
        <f>E22*F22</f>
        <v>92000000</v>
      </c>
    </row>
    <row r="23" spans="3:27" x14ac:dyDescent="0.25">
      <c r="C23" s="36" t="s">
        <v>8</v>
      </c>
      <c r="D23" s="34"/>
      <c r="E23" s="34"/>
      <c r="F23" s="34"/>
      <c r="G23" s="54">
        <f>AVERAGE(Table4[N° bacteria/mL],G19,G20,G21,G22)</f>
        <v>21981600</v>
      </c>
    </row>
    <row r="28" spans="3:27" x14ac:dyDescent="0.25">
      <c r="C28" s="44" t="s">
        <v>19</v>
      </c>
      <c r="D28" s="45" t="s">
        <v>17</v>
      </c>
      <c r="E28" s="45" t="s">
        <v>3</v>
      </c>
      <c r="F28" s="45" t="s">
        <v>4</v>
      </c>
      <c r="G28" s="45" t="s">
        <v>5</v>
      </c>
    </row>
    <row r="29" spans="3:27" x14ac:dyDescent="0.25">
      <c r="C29" s="38" t="s">
        <v>20</v>
      </c>
      <c r="D29" s="39">
        <f>10^-5</f>
        <v>1.0000000000000001E-5</v>
      </c>
      <c r="E29" s="37">
        <v>155</v>
      </c>
      <c r="F29" s="39">
        <f>10^5</f>
        <v>100000</v>
      </c>
      <c r="G29" s="39">
        <f>E29*F29</f>
        <v>15500000</v>
      </c>
    </row>
    <row r="30" spans="3:27" x14ac:dyDescent="0.25">
      <c r="C30" s="44" t="s">
        <v>44</v>
      </c>
      <c r="D30" s="46" t="s">
        <v>17</v>
      </c>
      <c r="E30" s="45" t="s">
        <v>3</v>
      </c>
      <c r="F30" s="46" t="s">
        <v>4</v>
      </c>
      <c r="G30" s="45" t="s">
        <v>5</v>
      </c>
    </row>
    <row r="31" spans="3:27" x14ac:dyDescent="0.25">
      <c r="C31" s="38" t="s">
        <v>47</v>
      </c>
      <c r="D31" s="39">
        <f>10^-3</f>
        <v>1E-3</v>
      </c>
      <c r="E31" s="37">
        <v>255</v>
      </c>
      <c r="F31" s="39">
        <f>10^3</f>
        <v>1000</v>
      </c>
      <c r="G31" s="39">
        <f>E31*F31</f>
        <v>255000</v>
      </c>
      <c r="AA31" s="1" t="s">
        <v>91</v>
      </c>
    </row>
    <row r="32" spans="3:27" x14ac:dyDescent="0.25">
      <c r="D32" s="33">
        <f>10^-4</f>
        <v>1E-4</v>
      </c>
      <c r="E32">
        <v>143</v>
      </c>
      <c r="F32" s="33">
        <f>10^4</f>
        <v>10000</v>
      </c>
      <c r="G32" s="33">
        <f>E32*F32</f>
        <v>1430000</v>
      </c>
      <c r="AA32" s="63" t="s">
        <v>51</v>
      </c>
    </row>
    <row r="33" spans="3:29" x14ac:dyDescent="0.25">
      <c r="C33" s="36" t="s">
        <v>8</v>
      </c>
      <c r="D33" s="35"/>
      <c r="E33" s="34"/>
      <c r="F33" s="35"/>
      <c r="G33" s="54">
        <f>AVERAGE(G29,G31,G32)</f>
        <v>5728333.333333333</v>
      </c>
    </row>
    <row r="34" spans="3:29" x14ac:dyDescent="0.25">
      <c r="F34" s="33"/>
    </row>
    <row r="38" spans="3:29" x14ac:dyDescent="0.25">
      <c r="C38" s="44" t="s">
        <v>22</v>
      </c>
      <c r="D38" s="50" t="s">
        <v>17</v>
      </c>
      <c r="E38" s="50" t="s">
        <v>3</v>
      </c>
      <c r="F38" s="50" t="s">
        <v>4</v>
      </c>
      <c r="G38" s="50" t="s">
        <v>5</v>
      </c>
      <c r="Y38" s="56" t="s">
        <v>86</v>
      </c>
      <c r="Z38" s="87" t="s">
        <v>2</v>
      </c>
      <c r="AA38" s="56" t="s">
        <v>3</v>
      </c>
      <c r="AB38" s="87" t="s">
        <v>4</v>
      </c>
      <c r="AC38" s="87" t="s">
        <v>5</v>
      </c>
    </row>
    <row r="39" spans="3:29" x14ac:dyDescent="0.25">
      <c r="C39" s="38" t="s">
        <v>20</v>
      </c>
      <c r="D39" s="39">
        <f>10^-4</f>
        <v>1E-4</v>
      </c>
      <c r="E39" s="37">
        <v>210</v>
      </c>
      <c r="F39" s="39">
        <f>10^4</f>
        <v>10000</v>
      </c>
      <c r="G39" s="39">
        <f>E39*F39</f>
        <v>2100000</v>
      </c>
      <c r="Y39" s="22" t="s">
        <v>9</v>
      </c>
      <c r="Z39" s="29">
        <f>0.00001</f>
        <v>1.0000000000000001E-5</v>
      </c>
      <c r="AA39" s="22">
        <f>71</f>
        <v>71</v>
      </c>
      <c r="AB39" s="29">
        <f>100000</f>
        <v>100000</v>
      </c>
      <c r="AC39" s="29">
        <f>AA39*AB39</f>
        <v>7100000</v>
      </c>
    </row>
    <row r="40" spans="3:29" x14ac:dyDescent="0.25">
      <c r="C40" s="44" t="s">
        <v>45</v>
      </c>
      <c r="D40" s="46" t="s">
        <v>17</v>
      </c>
      <c r="E40" s="45" t="s">
        <v>3</v>
      </c>
      <c r="F40" s="46" t="s">
        <v>4</v>
      </c>
      <c r="G40" s="46" t="s">
        <v>5</v>
      </c>
      <c r="Y40" s="22" t="s">
        <v>10</v>
      </c>
      <c r="Z40" s="29">
        <f>0.000001</f>
        <v>9.9999999999999995E-7</v>
      </c>
      <c r="AA40" s="22">
        <f>28</f>
        <v>28</v>
      </c>
      <c r="AB40" s="29">
        <f>1000000</f>
        <v>1000000</v>
      </c>
      <c r="AC40" s="29">
        <f t="shared" ref="AC40" si="0">AA40*AB40</f>
        <v>28000000</v>
      </c>
    </row>
    <row r="41" spans="3:29" x14ac:dyDescent="0.25">
      <c r="C41" s="38" t="s">
        <v>47</v>
      </c>
      <c r="D41" s="39">
        <f>10^-3</f>
        <v>1E-3</v>
      </c>
      <c r="E41" s="37">
        <v>270</v>
      </c>
      <c r="F41" s="39">
        <f>10^3</f>
        <v>1000</v>
      </c>
      <c r="G41" s="39">
        <f>E41*F41</f>
        <v>270000</v>
      </c>
      <c r="Y41" s="22" t="s">
        <v>8</v>
      </c>
      <c r="Z41" s="29"/>
      <c r="AA41" s="22"/>
      <c r="AB41" s="29"/>
      <c r="AC41" s="29">
        <f>AVERAGE(AC39,AC40)</f>
        <v>17550000</v>
      </c>
    </row>
    <row r="42" spans="3:29" x14ac:dyDescent="0.25">
      <c r="D42" s="33">
        <f>10^-6</f>
        <v>9.9999999999999995E-7</v>
      </c>
      <c r="E42">
        <v>52</v>
      </c>
      <c r="F42" s="33">
        <f>10^6</f>
        <v>1000000</v>
      </c>
      <c r="G42" s="33">
        <f>E42*F42</f>
        <v>52000000</v>
      </c>
      <c r="Z42"/>
      <c r="AB42"/>
      <c r="AC42"/>
    </row>
    <row r="43" spans="3:29" x14ac:dyDescent="0.25">
      <c r="C43" s="36" t="s">
        <v>8</v>
      </c>
      <c r="D43" s="35"/>
      <c r="E43" s="34"/>
      <c r="F43" s="35"/>
      <c r="G43" s="54">
        <f>AVERAGE(Table8[N° bacteria/mL],G41,G42)</f>
        <v>18123333.333333332</v>
      </c>
      <c r="Z43"/>
      <c r="AB43"/>
      <c r="AC43"/>
    </row>
    <row r="44" spans="3:29" x14ac:dyDescent="0.25">
      <c r="Z44"/>
      <c r="AB44"/>
      <c r="AC44"/>
    </row>
    <row r="48" spans="3:29" x14ac:dyDescent="0.25">
      <c r="C48" s="51" t="s">
        <v>23</v>
      </c>
      <c r="D48" s="45" t="s">
        <v>17</v>
      </c>
      <c r="E48" s="45" t="s">
        <v>3</v>
      </c>
      <c r="F48" s="46" t="s">
        <v>4</v>
      </c>
      <c r="G48" s="45" t="s">
        <v>5</v>
      </c>
    </row>
    <row r="49" spans="2:29" x14ac:dyDescent="0.25">
      <c r="C49" s="38" t="s">
        <v>20</v>
      </c>
      <c r="D49" s="39">
        <f>10^-4</f>
        <v>1E-4</v>
      </c>
      <c r="E49" s="37">
        <v>180</v>
      </c>
      <c r="F49" s="39">
        <f>10^4</f>
        <v>10000</v>
      </c>
      <c r="G49" s="39">
        <f>E49*F49</f>
        <v>1800000</v>
      </c>
    </row>
    <row r="50" spans="2:29" x14ac:dyDescent="0.25">
      <c r="D50" s="33">
        <f>10^-5</f>
        <v>1.0000000000000001E-5</v>
      </c>
      <c r="E50">
        <v>130</v>
      </c>
      <c r="F50" s="33">
        <f>10^5</f>
        <v>100000</v>
      </c>
      <c r="G50" s="33">
        <f>E50*F50</f>
        <v>13000000</v>
      </c>
    </row>
    <row r="51" spans="2:29" x14ac:dyDescent="0.25">
      <c r="C51" s="44" t="s">
        <v>46</v>
      </c>
      <c r="D51" s="52" t="s">
        <v>17</v>
      </c>
      <c r="E51" s="50" t="s">
        <v>3</v>
      </c>
      <c r="F51" s="52" t="s">
        <v>4</v>
      </c>
      <c r="G51" s="50" t="s">
        <v>5</v>
      </c>
    </row>
    <row r="52" spans="2:29" x14ac:dyDescent="0.25">
      <c r="C52" s="38" t="s">
        <v>47</v>
      </c>
      <c r="D52" s="39">
        <f>10^6</f>
        <v>1000000</v>
      </c>
      <c r="E52" s="37">
        <v>92</v>
      </c>
      <c r="F52" s="39">
        <f>10^6</f>
        <v>1000000</v>
      </c>
      <c r="G52" s="39">
        <f>E52*F52</f>
        <v>92000000</v>
      </c>
      <c r="J52" s="56" t="str">
        <f xml:space="preserve">      J64</f>
        <v>Unmodified</v>
      </c>
      <c r="K52" s="56" t="str">
        <f>J60</f>
        <v>Modified 0,2 mol/L</v>
      </c>
      <c r="L52" s="56" t="str">
        <f>J61</f>
        <v>Modified 0,4 mol/L</v>
      </c>
      <c r="M52" s="56" t="str">
        <f>J62</f>
        <v>Modified 0,6 mol/L</v>
      </c>
      <c r="N52" s="56" t="str">
        <f>J63</f>
        <v>Modified 0,8 mol/L</v>
      </c>
    </row>
    <row r="53" spans="2:29" x14ac:dyDescent="0.25">
      <c r="C53" s="36" t="s">
        <v>8</v>
      </c>
      <c r="D53" s="34"/>
      <c r="E53" s="34"/>
      <c r="F53" s="34"/>
      <c r="G53" s="54">
        <f>AVERAGE(G49,G50,Table11[N° bacteria/mL])</f>
        <v>35600000</v>
      </c>
      <c r="J53" s="65">
        <f>M64</f>
        <v>0.36244541484716158</v>
      </c>
      <c r="K53" s="65">
        <f>M60</f>
        <v>0.81476179775280899</v>
      </c>
      <c r="L53" s="65">
        <f>M61</f>
        <v>0.9517275280898877</v>
      </c>
      <c r="M53" s="65">
        <f>M62</f>
        <v>0.84727528089887649</v>
      </c>
      <c r="N53" s="65">
        <f>M63</f>
        <v>0.70000000000000007</v>
      </c>
      <c r="Y53" s="56" t="s">
        <v>18</v>
      </c>
      <c r="Z53" s="87" t="s">
        <v>17</v>
      </c>
      <c r="AA53" s="56" t="s">
        <v>3</v>
      </c>
      <c r="AB53" s="87" t="s">
        <v>4</v>
      </c>
      <c r="AC53" s="87" t="s">
        <v>5</v>
      </c>
    </row>
    <row r="54" spans="2:29" x14ac:dyDescent="0.25">
      <c r="J54" s="65">
        <v>0.36244541484716158</v>
      </c>
      <c r="K54" s="65">
        <v>0.36244541484716158</v>
      </c>
      <c r="L54" s="65">
        <v>0.36244541484716158</v>
      </c>
      <c r="M54" s="65">
        <v>0.36244541484716158</v>
      </c>
      <c r="N54" s="65">
        <v>0.36244541484716158</v>
      </c>
      <c r="Y54" s="22" t="s">
        <v>87</v>
      </c>
      <c r="Z54" s="29">
        <v>1.0000000000000001E-5</v>
      </c>
      <c r="AA54" s="22">
        <v>62</v>
      </c>
      <c r="AB54" s="29">
        <v>100000</v>
      </c>
      <c r="AC54" s="29">
        <f>AA54*AB54</f>
        <v>6200000</v>
      </c>
    </row>
    <row r="55" spans="2:29" x14ac:dyDescent="0.25">
      <c r="I55" t="s">
        <v>85</v>
      </c>
      <c r="J55" s="86">
        <f>+J53-J54</f>
        <v>0</v>
      </c>
      <c r="K55" s="86">
        <f>K53-K54</f>
        <v>0.45231638290564741</v>
      </c>
      <c r="L55" s="86">
        <f>L53-L54</f>
        <v>0.58928211324272617</v>
      </c>
      <c r="M55" s="86">
        <f t="shared" ref="M55:N55" si="1">M53-M54</f>
        <v>0.48482986605171491</v>
      </c>
      <c r="N55" s="86">
        <f t="shared" si="1"/>
        <v>0.33755458515283848</v>
      </c>
      <c r="Y55" s="56" t="s">
        <v>43</v>
      </c>
      <c r="Z55" s="87" t="s">
        <v>17</v>
      </c>
      <c r="AA55" s="56" t="s">
        <v>3</v>
      </c>
      <c r="AB55" s="87" t="s">
        <v>4</v>
      </c>
      <c r="AC55" s="87" t="s">
        <v>5</v>
      </c>
    </row>
    <row r="56" spans="2:29" x14ac:dyDescent="0.25">
      <c r="Y56" s="22" t="s">
        <v>88</v>
      </c>
      <c r="Z56" s="29">
        <v>1.0000000000000001E-5</v>
      </c>
      <c r="AA56" s="22">
        <v>89</v>
      </c>
      <c r="AB56" s="29">
        <v>100000</v>
      </c>
      <c r="AC56" s="29">
        <f>AA56*AB56</f>
        <v>8900000</v>
      </c>
    </row>
    <row r="57" spans="2:29" x14ac:dyDescent="0.25">
      <c r="Y57" s="56" t="s">
        <v>8</v>
      </c>
      <c r="Z57" s="22"/>
      <c r="AA57" s="22"/>
      <c r="AB57" s="22"/>
      <c r="AC57" s="29">
        <f>AVERAGE(AC54,AC56)</f>
        <v>7550000</v>
      </c>
    </row>
    <row r="58" spans="2:29" x14ac:dyDescent="0.25">
      <c r="C58" s="56" t="s">
        <v>48</v>
      </c>
      <c r="D58" s="56" t="s">
        <v>5</v>
      </c>
      <c r="K58" t="s">
        <v>80</v>
      </c>
      <c r="Z58"/>
      <c r="AB58"/>
      <c r="AC58"/>
    </row>
    <row r="59" spans="2:29" x14ac:dyDescent="0.25">
      <c r="B59" t="s">
        <v>57</v>
      </c>
      <c r="C59" s="22" t="s">
        <v>60</v>
      </c>
      <c r="D59" s="29">
        <f>G11</f>
        <v>118666666.66666667</v>
      </c>
      <c r="J59" s="22"/>
      <c r="K59" s="56" t="s">
        <v>57</v>
      </c>
      <c r="L59" s="56" t="s">
        <v>56</v>
      </c>
      <c r="M59" s="56" t="s">
        <v>55</v>
      </c>
      <c r="N59" s="1"/>
      <c r="O59" s="1"/>
      <c r="P59" s="1"/>
      <c r="Q59" s="22"/>
      <c r="R59" s="22" t="s">
        <v>48</v>
      </c>
      <c r="S59" s="22" t="s">
        <v>5</v>
      </c>
      <c r="Z59"/>
      <c r="AB59"/>
      <c r="AC59"/>
    </row>
    <row r="60" spans="2:29" x14ac:dyDescent="0.25">
      <c r="B60" t="s">
        <v>58</v>
      </c>
      <c r="C60" s="22" t="s">
        <v>24</v>
      </c>
      <c r="D60" s="29">
        <f>G23</f>
        <v>21981600</v>
      </c>
      <c r="J60" s="56" t="s">
        <v>81</v>
      </c>
      <c r="K60" s="29">
        <f>D59</f>
        <v>118666666.66666667</v>
      </c>
      <c r="L60" s="29">
        <f>D60</f>
        <v>21981600</v>
      </c>
      <c r="M60" s="65">
        <f>((K60-L60)/K60)</f>
        <v>0.81476179775280899</v>
      </c>
      <c r="N60" s="33"/>
      <c r="O60" s="33"/>
      <c r="Q60" s="22" t="s">
        <v>57</v>
      </c>
      <c r="R60" s="22" t="s">
        <v>53</v>
      </c>
      <c r="S60" s="29">
        <v>11450000</v>
      </c>
      <c r="Z60"/>
      <c r="AB60"/>
      <c r="AC60"/>
    </row>
    <row r="61" spans="2:29" x14ac:dyDescent="0.25">
      <c r="B61" t="s">
        <v>76</v>
      </c>
      <c r="C61" s="22" t="s">
        <v>25</v>
      </c>
      <c r="D61" s="29">
        <f>G33</f>
        <v>5728333.333333333</v>
      </c>
      <c r="J61" s="56" t="s">
        <v>82</v>
      </c>
      <c r="K61" s="29">
        <f>D59</f>
        <v>118666666.66666667</v>
      </c>
      <c r="L61" s="29">
        <f t="shared" ref="L61:L63" si="2">D61</f>
        <v>5728333.333333333</v>
      </c>
      <c r="M61" s="65">
        <f t="shared" ref="M61:M64" si="3">((K61-L61)/K61)</f>
        <v>0.9517275280898877</v>
      </c>
      <c r="Q61" s="22" t="s">
        <v>56</v>
      </c>
      <c r="R61" s="22" t="s">
        <v>15</v>
      </c>
      <c r="S61" s="29">
        <v>7300000</v>
      </c>
    </row>
    <row r="62" spans="2:29" x14ac:dyDescent="0.25">
      <c r="B62" t="s">
        <v>77</v>
      </c>
      <c r="C62" s="22" t="s">
        <v>26</v>
      </c>
      <c r="D62" s="29">
        <f>G43</f>
        <v>18123333.333333332</v>
      </c>
      <c r="J62" s="56" t="s">
        <v>83</v>
      </c>
      <c r="K62" s="29">
        <f>D59</f>
        <v>118666666.66666667</v>
      </c>
      <c r="L62" s="29">
        <f t="shared" si="2"/>
        <v>18123333.333333332</v>
      </c>
      <c r="M62" s="65">
        <f t="shared" si="3"/>
        <v>0.84727528089887649</v>
      </c>
      <c r="Q62" s="22" t="s">
        <v>59</v>
      </c>
      <c r="R62" s="22" t="s">
        <v>52</v>
      </c>
      <c r="S62" s="29">
        <v>5550000</v>
      </c>
    </row>
    <row r="63" spans="2:29" x14ac:dyDescent="0.25">
      <c r="B63" t="s">
        <v>78</v>
      </c>
      <c r="C63" s="22" t="s">
        <v>27</v>
      </c>
      <c r="D63" s="29">
        <f>G53</f>
        <v>35600000</v>
      </c>
      <c r="J63" s="56" t="s">
        <v>84</v>
      </c>
      <c r="K63" s="29">
        <f>D59</f>
        <v>118666666.66666667</v>
      </c>
      <c r="L63" s="29">
        <f t="shared" si="2"/>
        <v>35600000</v>
      </c>
      <c r="M63" s="65">
        <f t="shared" si="3"/>
        <v>0.70000000000000007</v>
      </c>
      <c r="Q63" s="22" t="s">
        <v>58</v>
      </c>
      <c r="R63" s="22" t="s">
        <v>16</v>
      </c>
      <c r="S63" s="29">
        <v>2760000</v>
      </c>
    </row>
    <row r="64" spans="2:29" x14ac:dyDescent="0.25">
      <c r="J64" s="56" t="s">
        <v>75</v>
      </c>
      <c r="K64" s="29">
        <f>K69</f>
        <v>11450000</v>
      </c>
      <c r="L64" s="29">
        <f>L69</f>
        <v>7300000</v>
      </c>
      <c r="M64" s="65">
        <f t="shared" si="3"/>
        <v>0.36244541484716158</v>
      </c>
    </row>
    <row r="65" spans="10:29" x14ac:dyDescent="0.25">
      <c r="Y65" s="56" t="s">
        <v>19</v>
      </c>
      <c r="Z65" s="87" t="s">
        <v>17</v>
      </c>
      <c r="AA65" s="56" t="s">
        <v>3</v>
      </c>
      <c r="AB65" s="87" t="s">
        <v>4</v>
      </c>
      <c r="AC65" s="87" t="s">
        <v>5</v>
      </c>
    </row>
    <row r="66" spans="10:29" x14ac:dyDescent="0.25">
      <c r="Y66" s="22" t="s">
        <v>87</v>
      </c>
      <c r="Z66" s="29">
        <v>1.0000000000000001E-5</v>
      </c>
      <c r="AA66" s="22">
        <v>34</v>
      </c>
      <c r="AB66" s="29">
        <v>100000</v>
      </c>
      <c r="AC66" s="29">
        <f>AA66*AB66</f>
        <v>3400000</v>
      </c>
    </row>
    <row r="67" spans="10:29" x14ac:dyDescent="0.25">
      <c r="K67" t="s">
        <v>79</v>
      </c>
      <c r="Y67" s="56" t="s">
        <v>44</v>
      </c>
      <c r="Z67" s="87" t="s">
        <v>17</v>
      </c>
      <c r="AA67" s="56" t="s">
        <v>3</v>
      </c>
      <c r="AB67" s="87" t="s">
        <v>4</v>
      </c>
      <c r="AC67" s="87" t="s">
        <v>5</v>
      </c>
    </row>
    <row r="68" spans="10:29" x14ac:dyDescent="0.25">
      <c r="J68" s="22"/>
      <c r="K68" s="22" t="s">
        <v>57</v>
      </c>
      <c r="L68" s="22" t="s">
        <v>56</v>
      </c>
      <c r="M68" s="22" t="s">
        <v>55</v>
      </c>
      <c r="Y68" s="22" t="s">
        <v>89</v>
      </c>
      <c r="Z68" s="29">
        <v>1E-4</v>
      </c>
      <c r="AA68" s="22">
        <v>92</v>
      </c>
      <c r="AB68" s="29">
        <v>10000</v>
      </c>
      <c r="AC68" s="29">
        <f>AA68*AB68</f>
        <v>920000</v>
      </c>
    </row>
    <row r="69" spans="10:29" x14ac:dyDescent="0.25">
      <c r="J69" s="22" t="s">
        <v>28</v>
      </c>
      <c r="K69" s="29">
        <f>11450000</f>
        <v>11450000</v>
      </c>
      <c r="L69" s="29">
        <f>7300000</f>
        <v>7300000</v>
      </c>
      <c r="M69" s="65">
        <f>36.2445414847162%</f>
        <v>0.36244541484716203</v>
      </c>
      <c r="Y69" s="56" t="s">
        <v>8</v>
      </c>
      <c r="Z69" s="22"/>
      <c r="AA69" s="22"/>
      <c r="AB69" s="22"/>
      <c r="AC69" s="29">
        <f>AVERAGE(AC66,AC68)</f>
        <v>2160000</v>
      </c>
    </row>
    <row r="70" spans="10:29" x14ac:dyDescent="0.25">
      <c r="J70" s="22" t="s">
        <v>54</v>
      </c>
      <c r="K70" s="29">
        <f>5550000</f>
        <v>5550000</v>
      </c>
      <c r="L70" s="29">
        <f>2760000</f>
        <v>2760000</v>
      </c>
      <c r="M70" s="65">
        <f>50.2702702702703%</f>
        <v>0.50270270270270301</v>
      </c>
    </row>
    <row r="75" spans="10:29" x14ac:dyDescent="0.25">
      <c r="Y75" s="56" t="s">
        <v>22</v>
      </c>
      <c r="Z75" s="87" t="s">
        <v>17</v>
      </c>
      <c r="AA75" s="56" t="s">
        <v>3</v>
      </c>
      <c r="AB75" s="87" t="s">
        <v>4</v>
      </c>
      <c r="AC75" s="87" t="s">
        <v>5</v>
      </c>
    </row>
    <row r="76" spans="10:29" x14ac:dyDescent="0.25">
      <c r="Y76" s="22" t="s">
        <v>87</v>
      </c>
      <c r="Z76" s="29">
        <v>1E-4</v>
      </c>
      <c r="AA76" s="22">
        <v>102</v>
      </c>
      <c r="AB76" s="29">
        <v>10000</v>
      </c>
      <c r="AC76" s="29">
        <f>AA76*AB76</f>
        <v>1020000</v>
      </c>
    </row>
    <row r="77" spans="10:29" x14ac:dyDescent="0.25">
      <c r="Y77" s="56" t="s">
        <v>45</v>
      </c>
      <c r="Z77" s="87" t="s">
        <v>17</v>
      </c>
      <c r="AA77" s="56" t="s">
        <v>3</v>
      </c>
      <c r="AB77" s="87" t="s">
        <v>4</v>
      </c>
      <c r="AC77" s="87" t="s">
        <v>5</v>
      </c>
    </row>
    <row r="78" spans="10:29" x14ac:dyDescent="0.25">
      <c r="Y78" s="22" t="s">
        <v>89</v>
      </c>
      <c r="Z78" s="29">
        <v>1.0000000000000001E-5</v>
      </c>
      <c r="AA78" s="22">
        <v>84</v>
      </c>
      <c r="AB78" s="29">
        <v>100000</v>
      </c>
      <c r="AC78" s="29">
        <f>AA78*AB78</f>
        <v>8400000</v>
      </c>
    </row>
    <row r="79" spans="10:29" x14ac:dyDescent="0.25">
      <c r="Y79" s="56" t="s">
        <v>8</v>
      </c>
      <c r="Z79" s="22"/>
      <c r="AA79" s="22"/>
      <c r="AB79" s="22"/>
      <c r="AC79" s="29">
        <f>AVERAGE(AC76,AC78)</f>
        <v>4710000</v>
      </c>
    </row>
    <row r="85" spans="25:30" x14ac:dyDescent="0.25">
      <c r="Y85" s="56" t="s">
        <v>23</v>
      </c>
      <c r="Z85" s="87" t="s">
        <v>17</v>
      </c>
      <c r="AA85" s="56" t="s">
        <v>3</v>
      </c>
      <c r="AB85" s="87" t="s">
        <v>4</v>
      </c>
      <c r="AC85" s="87" t="s">
        <v>5</v>
      </c>
    </row>
    <row r="86" spans="25:30" x14ac:dyDescent="0.25">
      <c r="Y86" s="22" t="s">
        <v>87</v>
      </c>
      <c r="Z86" s="29">
        <v>1.0000000000000001E-5</v>
      </c>
      <c r="AA86" s="22">
        <v>112</v>
      </c>
      <c r="AB86" s="29">
        <v>100000</v>
      </c>
      <c r="AC86" s="29">
        <f>AA86*AB86</f>
        <v>11200000</v>
      </c>
    </row>
    <row r="87" spans="25:30" x14ac:dyDescent="0.25">
      <c r="Y87" s="22"/>
      <c r="Z87" s="22"/>
      <c r="AA87" s="22"/>
      <c r="AB87" s="22"/>
      <c r="AC87" s="22"/>
    </row>
    <row r="88" spans="25:30" x14ac:dyDescent="0.25">
      <c r="Y88" s="56" t="s">
        <v>46</v>
      </c>
      <c r="Z88" s="87" t="s">
        <v>17</v>
      </c>
      <c r="AA88" s="56" t="s">
        <v>3</v>
      </c>
      <c r="AB88" s="87" t="s">
        <v>4</v>
      </c>
      <c r="AC88" s="87" t="s">
        <v>5</v>
      </c>
    </row>
    <row r="89" spans="25:30" x14ac:dyDescent="0.25">
      <c r="Y89" s="22" t="s">
        <v>89</v>
      </c>
      <c r="Z89" s="29">
        <v>9.9999999999999995E-7</v>
      </c>
      <c r="AA89" s="22">
        <v>54</v>
      </c>
      <c r="AB89" s="29">
        <v>100000</v>
      </c>
      <c r="AC89" s="29">
        <f>AA89*AB89</f>
        <v>5400000</v>
      </c>
    </row>
    <row r="90" spans="25:30" x14ac:dyDescent="0.25">
      <c r="Y90" s="56" t="s">
        <v>8</v>
      </c>
      <c r="Z90" s="29"/>
      <c r="AA90" s="22"/>
      <c r="AB90" s="29"/>
      <c r="AC90" s="29">
        <f>AVERAGE(AC86,AC89)</f>
        <v>8300000</v>
      </c>
    </row>
    <row r="96" spans="25:30" x14ac:dyDescent="0.25">
      <c r="AA96" s="22"/>
      <c r="AB96" s="56" t="s">
        <v>57</v>
      </c>
      <c r="AC96" s="56" t="s">
        <v>56</v>
      </c>
      <c r="AD96" s="56" t="s">
        <v>55</v>
      </c>
    </row>
    <row r="97" spans="27:32" x14ac:dyDescent="0.25">
      <c r="AA97" s="56" t="s">
        <v>81</v>
      </c>
      <c r="AB97" s="29">
        <f>AC41</f>
        <v>17550000</v>
      </c>
      <c r="AC97" s="29">
        <f>AC57</f>
        <v>7550000</v>
      </c>
      <c r="AD97" s="65">
        <f>(AB97-AC97)/AB97</f>
        <v>0.56980056980056981</v>
      </c>
    </row>
    <row r="98" spans="27:32" x14ac:dyDescent="0.25">
      <c r="AA98" s="56" t="s">
        <v>82</v>
      </c>
      <c r="AB98" s="29">
        <f>AC41</f>
        <v>17550000</v>
      </c>
      <c r="AC98" s="29">
        <f>AC69</f>
        <v>2160000</v>
      </c>
      <c r="AD98" s="65">
        <f t="shared" ref="AD98:AD101" si="4">(AB98-AC98)/AB98</f>
        <v>0.87692307692307692</v>
      </c>
    </row>
    <row r="99" spans="27:32" x14ac:dyDescent="0.25">
      <c r="AA99" s="56" t="s">
        <v>83</v>
      </c>
      <c r="AB99" s="29">
        <f>AC41</f>
        <v>17550000</v>
      </c>
      <c r="AC99" s="29">
        <f>AC79</f>
        <v>4710000</v>
      </c>
      <c r="AD99" s="65">
        <f t="shared" si="4"/>
        <v>0.73162393162393158</v>
      </c>
    </row>
    <row r="100" spans="27:32" x14ac:dyDescent="0.25">
      <c r="AA100" s="56" t="s">
        <v>84</v>
      </c>
      <c r="AB100" s="29">
        <f>AC41</f>
        <v>17550000</v>
      </c>
      <c r="AC100" s="29">
        <f>AC90</f>
        <v>8300000</v>
      </c>
      <c r="AD100" s="65">
        <f>(AB100-AC100)/AB100</f>
        <v>0.52706552706552712</v>
      </c>
    </row>
    <row r="101" spans="27:32" ht="15.75" x14ac:dyDescent="0.25">
      <c r="AA101" s="56" t="s">
        <v>75</v>
      </c>
      <c r="AB101" s="21">
        <f>5550000</f>
        <v>5550000</v>
      </c>
      <c r="AC101" s="29">
        <f>2760000</f>
        <v>2760000</v>
      </c>
      <c r="AD101" s="65">
        <f t="shared" si="4"/>
        <v>0.50270270270270268</v>
      </c>
    </row>
    <row r="106" spans="27:32" x14ac:dyDescent="0.25">
      <c r="AA106" s="22"/>
      <c r="AB106" s="29" t="s">
        <v>75</v>
      </c>
      <c r="AC106" s="29" t="s">
        <v>81</v>
      </c>
      <c r="AD106" s="22" t="s">
        <v>82</v>
      </c>
      <c r="AE106" s="22" t="s">
        <v>83</v>
      </c>
      <c r="AF106" s="22" t="s">
        <v>84</v>
      </c>
    </row>
    <row r="107" spans="27:32" x14ac:dyDescent="0.25">
      <c r="AA107" s="22"/>
      <c r="AB107" s="65">
        <f>AD101</f>
        <v>0.50270270270270268</v>
      </c>
      <c r="AC107" s="65">
        <f>AD97</f>
        <v>0.56980056980056981</v>
      </c>
      <c r="AD107" s="65">
        <f>AD98</f>
        <v>0.87692307692307692</v>
      </c>
      <c r="AE107" s="65">
        <f>AD99</f>
        <v>0.73162393162393158</v>
      </c>
      <c r="AF107" s="65">
        <f>AD100</f>
        <v>0.52706552706552712</v>
      </c>
    </row>
    <row r="108" spans="27:32" x14ac:dyDescent="0.25">
      <c r="AA108" s="22"/>
      <c r="AB108" s="65">
        <f>AD101</f>
        <v>0.50270270270270268</v>
      </c>
      <c r="AC108" s="65">
        <f>AD101</f>
        <v>0.50270270270270268</v>
      </c>
      <c r="AD108" s="65">
        <f>AD101</f>
        <v>0.50270270270270268</v>
      </c>
      <c r="AE108" s="65">
        <f>AD101</f>
        <v>0.50270270270270268</v>
      </c>
      <c r="AF108" s="65">
        <f>AD101</f>
        <v>0.50270270270270268</v>
      </c>
    </row>
    <row r="109" spans="27:32" x14ac:dyDescent="0.25">
      <c r="AA109" s="22" t="s">
        <v>85</v>
      </c>
      <c r="AB109" s="86">
        <f>AB107-AB108</f>
        <v>0</v>
      </c>
      <c r="AC109" s="86">
        <f>AC107-AC108</f>
        <v>6.7097867097867137E-2</v>
      </c>
      <c r="AD109" s="86">
        <f t="shared" ref="AD109:AF109" si="5">AD107-AD108</f>
        <v>0.37422037422037424</v>
      </c>
      <c r="AE109" s="86">
        <f t="shared" si="5"/>
        <v>0.2289212289212289</v>
      </c>
      <c r="AF109" s="86">
        <f t="shared" si="5"/>
        <v>2.4362824362824442E-2</v>
      </c>
    </row>
    <row r="129" spans="2:4" x14ac:dyDescent="0.25">
      <c r="C129" t="s">
        <v>48</v>
      </c>
      <c r="D129" t="s">
        <v>5</v>
      </c>
    </row>
    <row r="130" spans="2:4" x14ac:dyDescent="0.25">
      <c r="B130" t="s">
        <v>57</v>
      </c>
      <c r="C130" t="s">
        <v>53</v>
      </c>
      <c r="D130" s="33">
        <v>11450000</v>
      </c>
    </row>
    <row r="131" spans="2:4" x14ac:dyDescent="0.25">
      <c r="B131" t="s">
        <v>56</v>
      </c>
      <c r="C131" t="s">
        <v>15</v>
      </c>
      <c r="D131" s="33">
        <v>7300000</v>
      </c>
    </row>
    <row r="132" spans="2:4" x14ac:dyDescent="0.25">
      <c r="B132" t="s">
        <v>59</v>
      </c>
      <c r="C132" t="s">
        <v>52</v>
      </c>
      <c r="D132" s="33">
        <v>5550000</v>
      </c>
    </row>
    <row r="133" spans="2:4" x14ac:dyDescent="0.25">
      <c r="B133" t="s">
        <v>58</v>
      </c>
      <c r="C133" t="s">
        <v>16</v>
      </c>
      <c r="D133" s="33">
        <v>2760000</v>
      </c>
    </row>
  </sheetData>
  <pageMargins left="0.7" right="0.7" top="0.75" bottom="0.75" header="0.3" footer="0.3"/>
  <pageSetup orientation="portrait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7"/>
  <sheetViews>
    <sheetView zoomScale="60" zoomScaleNormal="60" workbookViewId="0">
      <selection activeCell="O69" sqref="O69"/>
    </sheetView>
  </sheetViews>
  <sheetFormatPr defaultRowHeight="15" x14ac:dyDescent="0.25"/>
  <cols>
    <col min="4" max="4" width="10.28515625" customWidth="1"/>
    <col min="5" max="5" width="19.28515625" customWidth="1"/>
    <col min="6" max="6" width="27.140625" customWidth="1"/>
    <col min="13" max="13" width="24.7109375" customWidth="1"/>
    <col min="14" max="14" width="29.140625" customWidth="1"/>
  </cols>
  <sheetData>
    <row r="1" spans="1:14" x14ac:dyDescent="0.25">
      <c r="A1" t="s">
        <v>74</v>
      </c>
    </row>
    <row r="5" spans="1:14" x14ac:dyDescent="0.25">
      <c r="E5" s="1" t="s">
        <v>31</v>
      </c>
      <c r="M5" s="1" t="s">
        <v>30</v>
      </c>
    </row>
    <row r="8" spans="1:14" x14ac:dyDescent="0.25">
      <c r="D8" s="55" t="s">
        <v>29</v>
      </c>
      <c r="E8" s="55" t="s">
        <v>32</v>
      </c>
      <c r="F8" s="55" t="s">
        <v>33</v>
      </c>
      <c r="L8" s="55" t="s">
        <v>6</v>
      </c>
      <c r="M8" s="55" t="s">
        <v>34</v>
      </c>
      <c r="N8" s="55" t="s">
        <v>35</v>
      </c>
    </row>
    <row r="9" spans="1:14" x14ac:dyDescent="0.25">
      <c r="D9" s="22">
        <v>0</v>
      </c>
      <c r="E9" s="22">
        <v>0</v>
      </c>
      <c r="F9" s="22">
        <v>0</v>
      </c>
      <c r="L9" s="22">
        <f>0</f>
        <v>0</v>
      </c>
      <c r="M9" s="22">
        <f>0</f>
        <v>0</v>
      </c>
      <c r="N9" s="22">
        <v>0</v>
      </c>
    </row>
    <row r="10" spans="1:14" x14ac:dyDescent="0.25">
      <c r="D10" s="22">
        <v>15</v>
      </c>
      <c r="E10" s="22">
        <v>0.03</v>
      </c>
      <c r="F10" s="22">
        <v>0.04</v>
      </c>
      <c r="L10" s="22">
        <f>60</f>
        <v>60</v>
      </c>
      <c r="M10" s="22">
        <v>4.2000000000000003E-2</v>
      </c>
      <c r="N10" s="22">
        <v>4.4999999999999998E-2</v>
      </c>
    </row>
    <row r="11" spans="1:14" x14ac:dyDescent="0.25">
      <c r="D11" s="22">
        <v>30</v>
      </c>
      <c r="E11" s="22">
        <v>4.4999999999999998E-2</v>
      </c>
      <c r="F11" s="22">
        <v>5.8999999999999997E-2</v>
      </c>
      <c r="L11" s="22">
        <f>90</f>
        <v>90</v>
      </c>
      <c r="M11" s="22">
        <v>4.2000000000000003E-2</v>
      </c>
      <c r="N11" s="22">
        <v>4.5999999999999999E-2</v>
      </c>
    </row>
    <row r="12" spans="1:14" x14ac:dyDescent="0.25">
      <c r="D12" s="22">
        <v>45</v>
      </c>
      <c r="E12" s="22">
        <v>8.5999999999999993E-2</v>
      </c>
      <c r="F12" s="22">
        <v>0.10100000000000001</v>
      </c>
      <c r="L12" s="22">
        <f>120</f>
        <v>120</v>
      </c>
      <c r="M12" s="22">
        <v>4.4999999999999998E-2</v>
      </c>
      <c r="N12" s="22">
        <v>4.7E-2</v>
      </c>
    </row>
    <row r="13" spans="1:14" x14ac:dyDescent="0.25">
      <c r="D13" s="22">
        <v>60</v>
      </c>
      <c r="E13" s="22">
        <v>0.14499999999999999</v>
      </c>
      <c r="F13" s="22">
        <v>0.16200000000000001</v>
      </c>
    </row>
    <row r="14" spans="1:14" x14ac:dyDescent="0.25">
      <c r="D14" s="22">
        <v>75</v>
      </c>
      <c r="E14" s="22">
        <v>0.215</v>
      </c>
      <c r="F14" s="22">
        <v>0.24299999999999999</v>
      </c>
    </row>
    <row r="15" spans="1:14" x14ac:dyDescent="0.25">
      <c r="D15" s="22">
        <v>90</v>
      </c>
      <c r="E15" s="22">
        <v>0.28899999999999998</v>
      </c>
      <c r="F15" s="22">
        <v>0.309</v>
      </c>
    </row>
    <row r="16" spans="1:14" x14ac:dyDescent="0.25">
      <c r="D16" s="22">
        <v>105</v>
      </c>
      <c r="E16" s="22">
        <v>0.33700000000000002</v>
      </c>
      <c r="F16" s="22">
        <v>0.34799999999999998</v>
      </c>
    </row>
    <row r="17" spans="4:6" x14ac:dyDescent="0.25">
      <c r="D17" s="22">
        <v>120</v>
      </c>
      <c r="E17" s="22">
        <v>0.38</v>
      </c>
      <c r="F17" s="22">
        <v>0.40200000000000002</v>
      </c>
    </row>
  </sheetData>
  <phoneticPr fontId="2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Unmodified Membrane</vt:lpstr>
      <vt:lpstr> Modified Membranes</vt:lpstr>
      <vt:lpstr>Optical Density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godwill kasongo</dc:creator>
  <cp:lastModifiedBy>Aude Mailys Minang Nkombe</cp:lastModifiedBy>
  <cp:lastPrinted>2023-04-04T11:25:45Z</cp:lastPrinted>
  <dcterms:created xsi:type="dcterms:W3CDTF">2022-11-14T14:50:37Z</dcterms:created>
  <dcterms:modified xsi:type="dcterms:W3CDTF">2024-02-19T22:36:04Z</dcterms:modified>
</cp:coreProperties>
</file>