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/>
  <mc:AlternateContent xmlns:mc="http://schemas.openxmlformats.org/markup-compatibility/2006">
    <mc:Choice Requires="x15">
      <x15ac:absPath xmlns:x15ac="http://schemas.microsoft.com/office/spreadsheetml/2010/11/ac" url="D:\admin thesis data sorted\"/>
    </mc:Choice>
  </mc:AlternateContent>
  <xr:revisionPtr revIDLastSave="0" documentId="13_ncr:1_{69F7ABF3-7BFC-4CD7-8588-84727244B293}" xr6:coauthVersionLast="47" xr6:coauthVersionMax="47" xr10:uidLastSave="{00000000-0000-0000-0000-000000000000}"/>
  <bookViews>
    <workbookView xWindow="0" yWindow="0" windowWidth="14880" windowHeight="10920" tabRatio="674" activeTab="1" xr2:uid="{00000000-000D-0000-FFFF-FFFF00000000}"/>
  </bookViews>
  <sheets>
    <sheet name="Preliminary Test (Nacl+Water)" sheetId="6" r:id="rId1"/>
    <sheet name="Microbial fouling E.coli" sheetId="3" r:id="rId2"/>
    <sheet name="Microbial fouling S Aureus" sheetId="4" r:id="rId3"/>
  </sheets>
  <externalReferences>
    <externalReference r:id="rId4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6" l="1"/>
  <c r="M3" i="6"/>
  <c r="M5" i="6"/>
  <c r="M6" i="6"/>
  <c r="F95" i="6"/>
  <c r="G95" i="6"/>
  <c r="H95" i="6"/>
  <c r="J95" i="6"/>
  <c r="F96" i="6"/>
  <c r="G96" i="6"/>
  <c r="H96" i="6"/>
  <c r="J96" i="6"/>
  <c r="F97" i="6"/>
  <c r="G97" i="6"/>
  <c r="H97" i="6"/>
  <c r="J97" i="6"/>
  <c r="F98" i="6"/>
  <c r="G98" i="6"/>
  <c r="H98" i="6"/>
  <c r="J98" i="6"/>
  <c r="F99" i="6"/>
  <c r="G99" i="6"/>
  <c r="H99" i="6"/>
  <c r="J99" i="6"/>
  <c r="G100" i="6"/>
  <c r="H100" i="6"/>
  <c r="J100" i="6"/>
  <c r="G101" i="6"/>
  <c r="H101" i="6"/>
  <c r="J101" i="6"/>
  <c r="G102" i="6"/>
  <c r="H102" i="6"/>
  <c r="J102" i="6"/>
  <c r="G103" i="6"/>
  <c r="H103" i="6"/>
  <c r="J103" i="6"/>
  <c r="F104" i="6"/>
  <c r="G104" i="6"/>
  <c r="H104" i="6"/>
  <c r="J104" i="6"/>
  <c r="J105" i="6"/>
  <c r="AO8" i="6"/>
  <c r="R96" i="6"/>
  <c r="W96" i="6"/>
  <c r="AF96" i="6"/>
  <c r="R97" i="6"/>
  <c r="W97" i="6"/>
  <c r="AF97" i="6"/>
  <c r="R98" i="6"/>
  <c r="W98" i="6"/>
  <c r="AF98" i="6"/>
  <c r="R99" i="6"/>
  <c r="W99" i="6"/>
  <c r="AF99" i="6"/>
  <c r="R100" i="6"/>
  <c r="W100" i="6"/>
  <c r="AF100" i="6"/>
  <c r="R101" i="6"/>
  <c r="W101" i="6"/>
  <c r="AF101" i="6"/>
  <c r="R102" i="6"/>
  <c r="W102" i="6"/>
  <c r="AF102" i="6"/>
  <c r="R103" i="6"/>
  <c r="W103" i="6"/>
  <c r="AF103" i="6"/>
  <c r="R104" i="6"/>
  <c r="W104" i="6"/>
  <c r="AF104" i="6"/>
  <c r="R105" i="6"/>
  <c r="W105" i="6"/>
  <c r="AF105" i="6"/>
  <c r="R106" i="6"/>
  <c r="W106" i="6"/>
  <c r="AF106" i="6"/>
  <c r="AF107" i="6"/>
  <c r="AR8" i="6"/>
  <c r="K95" i="6"/>
  <c r="K96" i="6"/>
  <c r="K97" i="6"/>
  <c r="K98" i="6"/>
  <c r="K99" i="6"/>
  <c r="K100" i="6"/>
  <c r="K101" i="6"/>
  <c r="K102" i="6"/>
  <c r="K103" i="6"/>
  <c r="K104" i="6"/>
  <c r="K105" i="6"/>
  <c r="AS8" i="6"/>
  <c r="AW8" i="6"/>
  <c r="F12" i="6"/>
  <c r="G12" i="6"/>
  <c r="E12" i="6"/>
  <c r="H12" i="6"/>
  <c r="J12" i="6"/>
  <c r="F13" i="6"/>
  <c r="G13" i="6"/>
  <c r="E13" i="6"/>
  <c r="H13" i="6"/>
  <c r="J13" i="6"/>
  <c r="F14" i="6"/>
  <c r="G14" i="6"/>
  <c r="E14" i="6"/>
  <c r="H14" i="6"/>
  <c r="J14" i="6"/>
  <c r="F15" i="6"/>
  <c r="G15" i="6"/>
  <c r="E15" i="6"/>
  <c r="H15" i="6"/>
  <c r="J15" i="6"/>
  <c r="F16" i="6"/>
  <c r="G16" i="6"/>
  <c r="E16" i="6"/>
  <c r="H16" i="6"/>
  <c r="J16" i="6"/>
  <c r="F17" i="6"/>
  <c r="G17" i="6"/>
  <c r="E17" i="6"/>
  <c r="H17" i="6"/>
  <c r="J17" i="6"/>
  <c r="F18" i="6"/>
  <c r="G18" i="6"/>
  <c r="E18" i="6"/>
  <c r="H18" i="6"/>
  <c r="J18" i="6"/>
  <c r="F19" i="6"/>
  <c r="G19" i="6"/>
  <c r="E19" i="6"/>
  <c r="H19" i="6"/>
  <c r="J19" i="6"/>
  <c r="F20" i="6"/>
  <c r="G20" i="6"/>
  <c r="E20" i="6"/>
  <c r="H20" i="6"/>
  <c r="J20" i="6"/>
  <c r="J21" i="6"/>
  <c r="AO9" i="6"/>
  <c r="R13" i="6"/>
  <c r="W13" i="6"/>
  <c r="AF13" i="6"/>
  <c r="R14" i="6"/>
  <c r="W14" i="6"/>
  <c r="AF14" i="6"/>
  <c r="R15" i="6"/>
  <c r="W15" i="6"/>
  <c r="AF15" i="6"/>
  <c r="R16" i="6"/>
  <c r="W16" i="6"/>
  <c r="AF16" i="6"/>
  <c r="R17" i="6"/>
  <c r="W17" i="6"/>
  <c r="AF17" i="6"/>
  <c r="R18" i="6"/>
  <c r="W18" i="6"/>
  <c r="AF18" i="6"/>
  <c r="R19" i="6"/>
  <c r="W19" i="6"/>
  <c r="AF19" i="6"/>
  <c r="R20" i="6"/>
  <c r="W20" i="6"/>
  <c r="AF20" i="6"/>
  <c r="R21" i="6"/>
  <c r="W21" i="6"/>
  <c r="AF21" i="6"/>
  <c r="R22" i="6"/>
  <c r="W22" i="6"/>
  <c r="AF22" i="6"/>
  <c r="AF23" i="6"/>
  <c r="AR9" i="6"/>
  <c r="K12" i="6"/>
  <c r="K13" i="6"/>
  <c r="K14" i="6"/>
  <c r="K15" i="6"/>
  <c r="K16" i="6"/>
  <c r="K17" i="6"/>
  <c r="K18" i="6"/>
  <c r="K19" i="6"/>
  <c r="K20" i="6"/>
  <c r="K21" i="6"/>
  <c r="AS9" i="6"/>
  <c r="AW9" i="6"/>
  <c r="G32" i="6"/>
  <c r="E32" i="6"/>
  <c r="H32" i="6"/>
  <c r="J32" i="6"/>
  <c r="G33" i="6"/>
  <c r="E33" i="6"/>
  <c r="H33" i="6"/>
  <c r="J33" i="6"/>
  <c r="G34" i="6"/>
  <c r="E34" i="6"/>
  <c r="H34" i="6"/>
  <c r="J34" i="6"/>
  <c r="F35" i="6"/>
  <c r="G35" i="6"/>
  <c r="E35" i="6"/>
  <c r="H35" i="6"/>
  <c r="J35" i="6"/>
  <c r="F36" i="6"/>
  <c r="G36" i="6"/>
  <c r="E36" i="6"/>
  <c r="H36" i="6"/>
  <c r="J36" i="6"/>
  <c r="G37" i="6"/>
  <c r="E37" i="6"/>
  <c r="H37" i="6"/>
  <c r="J37" i="6"/>
  <c r="G38" i="6"/>
  <c r="E38" i="6"/>
  <c r="H38" i="6"/>
  <c r="J38" i="6"/>
  <c r="F39" i="6"/>
  <c r="G39" i="6"/>
  <c r="E39" i="6"/>
  <c r="H39" i="6"/>
  <c r="J39" i="6"/>
  <c r="G40" i="6"/>
  <c r="E40" i="6"/>
  <c r="H40" i="6"/>
  <c r="J40" i="6"/>
  <c r="J41" i="6"/>
  <c r="AO10" i="6"/>
  <c r="AF33" i="6"/>
  <c r="AF34" i="6"/>
  <c r="AF35" i="6"/>
  <c r="AF36" i="6"/>
  <c r="AF37" i="6"/>
  <c r="AF38" i="6"/>
  <c r="AF39" i="6"/>
  <c r="AF40" i="6"/>
  <c r="AF41" i="6"/>
  <c r="AF42" i="6"/>
  <c r="AF43" i="6"/>
  <c r="AR10" i="6"/>
  <c r="K32" i="6"/>
  <c r="K33" i="6"/>
  <c r="K34" i="6"/>
  <c r="K35" i="6"/>
  <c r="K36" i="6"/>
  <c r="K37" i="6"/>
  <c r="K38" i="6"/>
  <c r="K39" i="6"/>
  <c r="K40" i="6"/>
  <c r="K41" i="6"/>
  <c r="AS10" i="6"/>
  <c r="AW10" i="6"/>
  <c r="G52" i="6"/>
  <c r="E52" i="6"/>
  <c r="H52" i="6"/>
  <c r="J52" i="6"/>
  <c r="G53" i="6"/>
  <c r="E53" i="6"/>
  <c r="H53" i="6"/>
  <c r="J53" i="6"/>
  <c r="G54" i="6"/>
  <c r="E54" i="6"/>
  <c r="H54" i="6"/>
  <c r="J54" i="6"/>
  <c r="G55" i="6"/>
  <c r="E55" i="6"/>
  <c r="H55" i="6"/>
  <c r="J55" i="6"/>
  <c r="G56" i="6"/>
  <c r="E56" i="6"/>
  <c r="H56" i="6"/>
  <c r="J56" i="6"/>
  <c r="G57" i="6"/>
  <c r="E57" i="6"/>
  <c r="H57" i="6"/>
  <c r="J57" i="6"/>
  <c r="G58" i="6"/>
  <c r="E58" i="6"/>
  <c r="H58" i="6"/>
  <c r="J58" i="6"/>
  <c r="G59" i="6"/>
  <c r="E59" i="6"/>
  <c r="H59" i="6"/>
  <c r="J59" i="6"/>
  <c r="G60" i="6"/>
  <c r="E60" i="6"/>
  <c r="H60" i="6"/>
  <c r="J60" i="6"/>
  <c r="J61" i="6"/>
  <c r="AO11" i="6"/>
  <c r="AF53" i="6"/>
  <c r="AF54" i="6"/>
  <c r="AF55" i="6"/>
  <c r="AF56" i="6"/>
  <c r="AF57" i="6"/>
  <c r="AF58" i="6"/>
  <c r="AF59" i="6"/>
  <c r="AF60" i="6"/>
  <c r="AF61" i="6"/>
  <c r="AF62" i="6"/>
  <c r="AF63" i="6"/>
  <c r="AR11" i="6"/>
  <c r="K52" i="6"/>
  <c r="K53" i="6"/>
  <c r="K54" i="6"/>
  <c r="K55" i="6"/>
  <c r="K56" i="6"/>
  <c r="K57" i="6"/>
  <c r="K58" i="6"/>
  <c r="K59" i="6"/>
  <c r="K60" i="6"/>
  <c r="K61" i="6"/>
  <c r="AS11" i="6"/>
  <c r="AW11" i="6"/>
  <c r="I12" i="6"/>
  <c r="G72" i="6"/>
  <c r="E72" i="6"/>
  <c r="H72" i="6"/>
  <c r="J72" i="6"/>
  <c r="G73" i="6"/>
  <c r="E73" i="6"/>
  <c r="H73" i="6"/>
  <c r="J73" i="6"/>
  <c r="G74" i="6"/>
  <c r="E74" i="6"/>
  <c r="H74" i="6"/>
  <c r="J74" i="6"/>
  <c r="G75" i="6"/>
  <c r="E75" i="6"/>
  <c r="H75" i="6"/>
  <c r="J75" i="6"/>
  <c r="G76" i="6"/>
  <c r="E76" i="6"/>
  <c r="H76" i="6"/>
  <c r="J76" i="6"/>
  <c r="G77" i="6"/>
  <c r="E77" i="6"/>
  <c r="H77" i="6"/>
  <c r="J77" i="6"/>
  <c r="G78" i="6"/>
  <c r="E78" i="6"/>
  <c r="H78" i="6"/>
  <c r="J78" i="6"/>
  <c r="G79" i="6"/>
  <c r="E79" i="6"/>
  <c r="H79" i="6"/>
  <c r="J79" i="6"/>
  <c r="G80" i="6"/>
  <c r="E80" i="6"/>
  <c r="H80" i="6"/>
  <c r="J80" i="6"/>
  <c r="J81" i="6"/>
  <c r="AO12" i="6"/>
  <c r="AF74" i="6"/>
  <c r="AF75" i="6"/>
  <c r="AF76" i="6"/>
  <c r="AF77" i="6"/>
  <c r="AF78" i="6"/>
  <c r="AF79" i="6"/>
  <c r="AF80" i="6"/>
  <c r="AF81" i="6"/>
  <c r="AF82" i="6"/>
  <c r="AF83" i="6"/>
  <c r="AF84" i="6"/>
  <c r="AR12" i="6"/>
  <c r="AS12" i="6"/>
  <c r="K72" i="6"/>
  <c r="K73" i="6"/>
  <c r="K74" i="6"/>
  <c r="K75" i="6"/>
  <c r="K76" i="6"/>
  <c r="K77" i="6"/>
  <c r="K78" i="6"/>
  <c r="K79" i="6"/>
  <c r="K80" i="6"/>
  <c r="K81" i="6"/>
  <c r="AW12" i="6"/>
  <c r="I13" i="6"/>
  <c r="S13" i="6"/>
  <c r="U13" i="6"/>
  <c r="V13" i="6"/>
  <c r="X13" i="6"/>
  <c r="Z13" i="6"/>
  <c r="AA13" i="6"/>
  <c r="AB13" i="6"/>
  <c r="AC13" i="6"/>
  <c r="AD13" i="6"/>
  <c r="AE13" i="6"/>
  <c r="I14" i="6"/>
  <c r="S14" i="6"/>
  <c r="U14" i="6"/>
  <c r="V14" i="6"/>
  <c r="X14" i="6"/>
  <c r="Z14" i="6"/>
  <c r="AA14" i="6"/>
  <c r="AB14" i="6"/>
  <c r="AC14" i="6"/>
  <c r="AD14" i="6"/>
  <c r="AE14" i="6"/>
  <c r="I15" i="6"/>
  <c r="S15" i="6"/>
  <c r="U15" i="6"/>
  <c r="V15" i="6"/>
  <c r="X15" i="6"/>
  <c r="Z15" i="6"/>
  <c r="AA15" i="6"/>
  <c r="AB15" i="6"/>
  <c r="AC15" i="6"/>
  <c r="AD15" i="6"/>
  <c r="AE15" i="6"/>
  <c r="I16" i="6"/>
  <c r="S16" i="6"/>
  <c r="U16" i="6"/>
  <c r="V16" i="6"/>
  <c r="X16" i="6"/>
  <c r="Z16" i="6"/>
  <c r="AA16" i="6"/>
  <c r="AB16" i="6"/>
  <c r="AC16" i="6"/>
  <c r="AD16" i="6"/>
  <c r="AE16" i="6"/>
  <c r="I17" i="6"/>
  <c r="S17" i="6"/>
  <c r="U17" i="6"/>
  <c r="V17" i="6"/>
  <c r="X17" i="6"/>
  <c r="Z17" i="6"/>
  <c r="AA17" i="6"/>
  <c r="AB17" i="6"/>
  <c r="AC17" i="6"/>
  <c r="AD17" i="6"/>
  <c r="AE17" i="6"/>
  <c r="I18" i="6"/>
  <c r="S18" i="6"/>
  <c r="U18" i="6"/>
  <c r="V18" i="6"/>
  <c r="X18" i="6"/>
  <c r="Z18" i="6"/>
  <c r="AA18" i="6"/>
  <c r="AB18" i="6"/>
  <c r="AC18" i="6"/>
  <c r="AD18" i="6"/>
  <c r="AE18" i="6"/>
  <c r="I19" i="6"/>
  <c r="S19" i="6"/>
  <c r="U19" i="6"/>
  <c r="V19" i="6"/>
  <c r="X19" i="6"/>
  <c r="Z19" i="6"/>
  <c r="AA19" i="6"/>
  <c r="AB19" i="6"/>
  <c r="AC19" i="6"/>
  <c r="AD19" i="6"/>
  <c r="AE19" i="6"/>
  <c r="I20" i="6"/>
  <c r="S20" i="6"/>
  <c r="U20" i="6"/>
  <c r="V20" i="6"/>
  <c r="X20" i="6"/>
  <c r="AA20" i="6"/>
  <c r="AB20" i="6"/>
  <c r="AC20" i="6"/>
  <c r="AD20" i="6"/>
  <c r="AE20" i="6"/>
  <c r="S21" i="6"/>
  <c r="U21" i="6"/>
  <c r="V21" i="6"/>
  <c r="X21" i="6"/>
  <c r="AA21" i="6"/>
  <c r="AB21" i="6"/>
  <c r="AC21" i="6"/>
  <c r="AD21" i="6"/>
  <c r="AE21" i="6"/>
  <c r="S22" i="6"/>
  <c r="U22" i="6"/>
  <c r="V22" i="6"/>
  <c r="X22" i="6"/>
  <c r="AA22" i="6"/>
  <c r="AB22" i="6"/>
  <c r="AC22" i="6"/>
  <c r="AD22" i="6"/>
  <c r="AE22" i="6"/>
  <c r="AE23" i="6"/>
  <c r="I32" i="6"/>
  <c r="I33" i="6"/>
  <c r="V33" i="6"/>
  <c r="AA33" i="6"/>
  <c r="AB33" i="6"/>
  <c r="AC33" i="6"/>
  <c r="AD33" i="6"/>
  <c r="AE33" i="6"/>
  <c r="I34" i="6"/>
  <c r="AA34" i="6"/>
  <c r="AB34" i="6"/>
  <c r="AC34" i="6"/>
  <c r="AD34" i="6"/>
  <c r="AE34" i="6"/>
  <c r="I35" i="6"/>
  <c r="AA35" i="6"/>
  <c r="AB35" i="6"/>
  <c r="AC35" i="6"/>
  <c r="AD35" i="6"/>
  <c r="AE35" i="6"/>
  <c r="I36" i="6"/>
  <c r="AA36" i="6"/>
  <c r="AB36" i="6"/>
  <c r="AC36" i="6"/>
  <c r="AD36" i="6"/>
  <c r="AE36" i="6"/>
  <c r="I37" i="6"/>
  <c r="AA37" i="6"/>
  <c r="AB37" i="6"/>
  <c r="AC37" i="6"/>
  <c r="AD37" i="6"/>
  <c r="AE37" i="6"/>
  <c r="I38" i="6"/>
  <c r="AA38" i="6"/>
  <c r="AB38" i="6"/>
  <c r="AC38" i="6"/>
  <c r="AD38" i="6"/>
  <c r="AE38" i="6"/>
  <c r="I39" i="6"/>
  <c r="AA39" i="6"/>
  <c r="AB39" i="6"/>
  <c r="AC39" i="6"/>
  <c r="AD39" i="6"/>
  <c r="AE39" i="6"/>
  <c r="I40" i="6"/>
  <c r="S40" i="6"/>
  <c r="U40" i="6"/>
  <c r="AA40" i="6"/>
  <c r="AB40" i="6"/>
  <c r="AC40" i="6"/>
  <c r="AD40" i="6"/>
  <c r="AE40" i="6"/>
  <c r="AA41" i="6"/>
  <c r="AB41" i="6"/>
  <c r="AC41" i="6"/>
  <c r="AD41" i="6"/>
  <c r="AE41" i="6"/>
  <c r="AA42" i="6"/>
  <c r="AB42" i="6"/>
  <c r="AC42" i="6"/>
  <c r="AD42" i="6"/>
  <c r="AE42" i="6"/>
  <c r="AE43" i="6"/>
  <c r="I52" i="6"/>
  <c r="I53" i="6"/>
  <c r="AA53" i="6"/>
  <c r="AB53" i="6"/>
  <c r="AC53" i="6"/>
  <c r="AD53" i="6"/>
  <c r="AE53" i="6"/>
  <c r="I54" i="6"/>
  <c r="AA54" i="6"/>
  <c r="AB54" i="6"/>
  <c r="AC54" i="6"/>
  <c r="AD54" i="6"/>
  <c r="AE54" i="6"/>
  <c r="I55" i="6"/>
  <c r="AA55" i="6"/>
  <c r="AB55" i="6"/>
  <c r="AC55" i="6"/>
  <c r="AD55" i="6"/>
  <c r="AE55" i="6"/>
  <c r="I56" i="6"/>
  <c r="AA56" i="6"/>
  <c r="AB56" i="6"/>
  <c r="AC56" i="6"/>
  <c r="AD56" i="6"/>
  <c r="AE56" i="6"/>
  <c r="I57" i="6"/>
  <c r="AA57" i="6"/>
  <c r="AB57" i="6"/>
  <c r="AC57" i="6"/>
  <c r="AD57" i="6"/>
  <c r="AE57" i="6"/>
  <c r="I58" i="6"/>
  <c r="AA58" i="6"/>
  <c r="AB58" i="6"/>
  <c r="AC58" i="6"/>
  <c r="AD58" i="6"/>
  <c r="AE58" i="6"/>
  <c r="I59" i="6"/>
  <c r="AA59" i="6"/>
  <c r="AB59" i="6"/>
  <c r="AC59" i="6"/>
  <c r="AD59" i="6"/>
  <c r="AE59" i="6"/>
  <c r="I60" i="6"/>
  <c r="AA60" i="6"/>
  <c r="AB60" i="6"/>
  <c r="AC60" i="6"/>
  <c r="AD60" i="6"/>
  <c r="AE60" i="6"/>
  <c r="AA61" i="6"/>
  <c r="AB61" i="6"/>
  <c r="AC61" i="6"/>
  <c r="AD61" i="6"/>
  <c r="AE61" i="6"/>
  <c r="AA62" i="6"/>
  <c r="AB62" i="6"/>
  <c r="AC62" i="6"/>
  <c r="AD62" i="6"/>
  <c r="AE62" i="6"/>
  <c r="AE63" i="6"/>
  <c r="I72" i="6"/>
  <c r="I73" i="6"/>
  <c r="I74" i="6"/>
  <c r="AA74" i="6"/>
  <c r="AB74" i="6"/>
  <c r="AC74" i="6"/>
  <c r="AD74" i="6"/>
  <c r="AE74" i="6"/>
  <c r="I75" i="6"/>
  <c r="AA75" i="6"/>
  <c r="AB75" i="6"/>
  <c r="AC75" i="6"/>
  <c r="AD75" i="6"/>
  <c r="AE75" i="6"/>
  <c r="I76" i="6"/>
  <c r="AA76" i="6"/>
  <c r="AB76" i="6"/>
  <c r="AC76" i="6"/>
  <c r="AD76" i="6"/>
  <c r="AE76" i="6"/>
  <c r="I77" i="6"/>
  <c r="AA77" i="6"/>
  <c r="AB77" i="6"/>
  <c r="AC77" i="6"/>
  <c r="AD77" i="6"/>
  <c r="AE77" i="6"/>
  <c r="I78" i="6"/>
  <c r="AA78" i="6"/>
  <c r="AB78" i="6"/>
  <c r="AC78" i="6"/>
  <c r="AD78" i="6"/>
  <c r="AE78" i="6"/>
  <c r="I79" i="6"/>
  <c r="AA79" i="6"/>
  <c r="AB79" i="6"/>
  <c r="AC79" i="6"/>
  <c r="AD79" i="6"/>
  <c r="AE79" i="6"/>
  <c r="I80" i="6"/>
  <c r="AA80" i="6"/>
  <c r="AB80" i="6"/>
  <c r="AC80" i="6"/>
  <c r="AD80" i="6"/>
  <c r="AE80" i="6"/>
  <c r="AA81" i="6"/>
  <c r="AB81" i="6"/>
  <c r="AC81" i="6"/>
  <c r="AD81" i="6"/>
  <c r="AE81" i="6"/>
  <c r="AA82" i="6"/>
  <c r="AB82" i="6"/>
  <c r="AC82" i="6"/>
  <c r="AD82" i="6"/>
  <c r="AE82" i="6"/>
  <c r="AA83" i="6"/>
  <c r="AB83" i="6"/>
  <c r="AC83" i="6"/>
  <c r="AD83" i="6"/>
  <c r="AE83" i="6"/>
  <c r="AE84" i="6"/>
  <c r="I95" i="6"/>
  <c r="I96" i="6"/>
  <c r="S96" i="6"/>
  <c r="T96" i="6"/>
  <c r="U96" i="6"/>
  <c r="V96" i="6"/>
  <c r="X96" i="6"/>
  <c r="Y96" i="6"/>
  <c r="AA96" i="6"/>
  <c r="AB96" i="6"/>
  <c r="AC96" i="6"/>
  <c r="AD96" i="6"/>
  <c r="AE96" i="6"/>
  <c r="I97" i="6"/>
  <c r="S97" i="6"/>
  <c r="T97" i="6"/>
  <c r="U97" i="6"/>
  <c r="V97" i="6"/>
  <c r="X97" i="6"/>
  <c r="Y97" i="6"/>
  <c r="AA97" i="6"/>
  <c r="AB97" i="6"/>
  <c r="AC97" i="6"/>
  <c r="AD97" i="6"/>
  <c r="AE97" i="6"/>
  <c r="I98" i="6"/>
  <c r="S98" i="6"/>
  <c r="T98" i="6"/>
  <c r="U98" i="6"/>
  <c r="V98" i="6"/>
  <c r="X98" i="6"/>
  <c r="Y98" i="6"/>
  <c r="AA98" i="6"/>
  <c r="AB98" i="6"/>
  <c r="AC98" i="6"/>
  <c r="AD98" i="6"/>
  <c r="AE98" i="6"/>
  <c r="I99" i="6"/>
  <c r="S99" i="6"/>
  <c r="T99" i="6"/>
  <c r="U99" i="6"/>
  <c r="V99" i="6"/>
  <c r="X99" i="6"/>
  <c r="Y99" i="6"/>
  <c r="AA99" i="6"/>
  <c r="AB99" i="6"/>
  <c r="AC99" i="6"/>
  <c r="AD99" i="6"/>
  <c r="AE99" i="6"/>
  <c r="I100" i="6"/>
  <c r="S100" i="6"/>
  <c r="T100" i="6"/>
  <c r="U100" i="6"/>
  <c r="V100" i="6"/>
  <c r="X100" i="6"/>
  <c r="Y100" i="6"/>
  <c r="AA100" i="6"/>
  <c r="AB100" i="6"/>
  <c r="AC100" i="6"/>
  <c r="AD100" i="6"/>
  <c r="AE100" i="6"/>
  <c r="I101" i="6"/>
  <c r="S101" i="6"/>
  <c r="T101" i="6"/>
  <c r="U101" i="6"/>
  <c r="V101" i="6"/>
  <c r="X101" i="6"/>
  <c r="Y101" i="6"/>
  <c r="AA101" i="6"/>
  <c r="AB101" i="6"/>
  <c r="AC101" i="6"/>
  <c r="AD101" i="6"/>
  <c r="AE101" i="6"/>
  <c r="I102" i="6"/>
  <c r="S102" i="6"/>
  <c r="T102" i="6"/>
  <c r="U102" i="6"/>
  <c r="V102" i="6"/>
  <c r="X102" i="6"/>
  <c r="Y102" i="6"/>
  <c r="AA102" i="6"/>
  <c r="AB102" i="6"/>
  <c r="AC102" i="6"/>
  <c r="AD102" i="6"/>
  <c r="AE102" i="6"/>
  <c r="I103" i="6"/>
  <c r="S103" i="6"/>
  <c r="T103" i="6"/>
  <c r="U103" i="6"/>
  <c r="V103" i="6"/>
  <c r="X103" i="6"/>
  <c r="Y103" i="6"/>
  <c r="AA103" i="6"/>
  <c r="AB103" i="6"/>
  <c r="AC103" i="6"/>
  <c r="AD103" i="6"/>
  <c r="AE103" i="6"/>
  <c r="I104" i="6"/>
  <c r="S104" i="6"/>
  <c r="T104" i="6"/>
  <c r="U104" i="6"/>
  <c r="V104" i="6"/>
  <c r="X104" i="6"/>
  <c r="Y104" i="6"/>
  <c r="AA104" i="6"/>
  <c r="AB104" i="6"/>
  <c r="AC104" i="6"/>
  <c r="AD104" i="6"/>
  <c r="AE104" i="6"/>
  <c r="S105" i="6"/>
  <c r="T105" i="6"/>
  <c r="U105" i="6"/>
  <c r="V105" i="6"/>
  <c r="X105" i="6"/>
  <c r="Y105" i="6"/>
  <c r="AA105" i="6"/>
  <c r="AB105" i="6"/>
  <c r="AC105" i="6"/>
  <c r="AD105" i="6"/>
  <c r="AE105" i="6"/>
  <c r="S106" i="6"/>
  <c r="T106" i="6"/>
  <c r="U106" i="6"/>
  <c r="V106" i="6"/>
  <c r="X106" i="6"/>
  <c r="Y106" i="6"/>
  <c r="AA106" i="6"/>
  <c r="AB106" i="6"/>
  <c r="AC106" i="6"/>
  <c r="AD106" i="6"/>
  <c r="AE106" i="6"/>
  <c r="AE107" i="6"/>
  <c r="AJ14" i="3"/>
  <c r="AJ15" i="3"/>
  <c r="AJ16" i="3"/>
  <c r="AJ17" i="3"/>
  <c r="AJ18" i="3"/>
  <c r="AJ19" i="3"/>
  <c r="AJ20" i="3"/>
  <c r="AJ21" i="3"/>
  <c r="AJ22" i="3"/>
  <c r="AJ40" i="3"/>
  <c r="AJ41" i="3"/>
  <c r="AJ42" i="3"/>
  <c r="AJ43" i="3"/>
  <c r="AJ44" i="3"/>
  <c r="AJ45" i="3"/>
  <c r="AJ46" i="3"/>
  <c r="AJ47" i="3"/>
  <c r="AJ48" i="3"/>
  <c r="O5" i="4"/>
  <c r="O7" i="4"/>
  <c r="O8" i="4"/>
  <c r="BL10" i="4"/>
  <c r="BL11" i="4"/>
  <c r="BL12" i="4"/>
  <c r="BL13" i="4"/>
  <c r="H14" i="4"/>
  <c r="J14" i="4"/>
  <c r="K14" i="4"/>
  <c r="L14" i="4"/>
  <c r="M14" i="4"/>
  <c r="T14" i="4"/>
  <c r="U14" i="4"/>
  <c r="V14" i="4"/>
  <c r="W14" i="4"/>
  <c r="X14" i="4"/>
  <c r="Y14" i="4"/>
  <c r="Z14" i="4"/>
  <c r="AA14" i="4"/>
  <c r="AC14" i="4"/>
  <c r="AD14" i="4"/>
  <c r="AE14" i="4"/>
  <c r="AF14" i="4"/>
  <c r="AG14" i="4"/>
  <c r="AH14" i="4"/>
  <c r="AI14" i="4"/>
  <c r="AJ14" i="4"/>
  <c r="AE22" i="4"/>
  <c r="AC22" i="4"/>
  <c r="AD22" i="4"/>
  <c r="AG22" i="4"/>
  <c r="AH22" i="4"/>
  <c r="AK14" i="4"/>
  <c r="AY14" i="4"/>
  <c r="AZ14" i="4"/>
  <c r="BA14" i="4"/>
  <c r="BB14" i="4"/>
  <c r="BC14" i="4"/>
  <c r="BD14" i="4"/>
  <c r="BE14" i="4"/>
  <c r="AZ15" i="4"/>
  <c r="BA15" i="4"/>
  <c r="AY15" i="4"/>
  <c r="BB15" i="4"/>
  <c r="BD15" i="4"/>
  <c r="AZ16" i="4"/>
  <c r="BA16" i="4"/>
  <c r="AY16" i="4"/>
  <c r="BB16" i="4"/>
  <c r="BD16" i="4"/>
  <c r="AZ17" i="4"/>
  <c r="BA17" i="4"/>
  <c r="AY17" i="4"/>
  <c r="BB17" i="4"/>
  <c r="BD17" i="4"/>
  <c r="AZ18" i="4"/>
  <c r="BA18" i="4"/>
  <c r="AY18" i="4"/>
  <c r="BB18" i="4"/>
  <c r="BD18" i="4"/>
  <c r="AZ19" i="4"/>
  <c r="BA19" i="4"/>
  <c r="AY19" i="4"/>
  <c r="BB19" i="4"/>
  <c r="BD19" i="4"/>
  <c r="AZ20" i="4"/>
  <c r="BA20" i="4"/>
  <c r="AY20" i="4"/>
  <c r="BB20" i="4"/>
  <c r="BD20" i="4"/>
  <c r="AZ21" i="4"/>
  <c r="BA21" i="4"/>
  <c r="AY21" i="4"/>
  <c r="BB21" i="4"/>
  <c r="BD21" i="4"/>
  <c r="AZ22" i="4"/>
  <c r="BA22" i="4"/>
  <c r="AY22" i="4"/>
  <c r="BB22" i="4"/>
  <c r="BD22" i="4"/>
  <c r="AZ23" i="4"/>
  <c r="BA23" i="4"/>
  <c r="AY23" i="4"/>
  <c r="BB23" i="4"/>
  <c r="BD23" i="4"/>
  <c r="AZ24" i="4"/>
  <c r="BA24" i="4"/>
  <c r="AY24" i="4"/>
  <c r="BB24" i="4"/>
  <c r="BD24" i="4"/>
  <c r="AZ25" i="4"/>
  <c r="BA25" i="4"/>
  <c r="AY25" i="4"/>
  <c r="BB25" i="4"/>
  <c r="BD25" i="4"/>
  <c r="AZ26" i="4"/>
  <c r="BA26" i="4"/>
  <c r="AY26" i="4"/>
  <c r="BB26" i="4"/>
  <c r="BD26" i="4"/>
  <c r="BD27" i="4"/>
  <c r="J15" i="4"/>
  <c r="H15" i="4"/>
  <c r="K15" i="4"/>
  <c r="M15" i="4"/>
  <c r="J16" i="4"/>
  <c r="H16" i="4"/>
  <c r="K16" i="4"/>
  <c r="M16" i="4"/>
  <c r="J17" i="4"/>
  <c r="H17" i="4"/>
  <c r="K17" i="4"/>
  <c r="M17" i="4"/>
  <c r="J18" i="4"/>
  <c r="H18" i="4"/>
  <c r="K18" i="4"/>
  <c r="M18" i="4"/>
  <c r="J19" i="4"/>
  <c r="H19" i="4"/>
  <c r="K19" i="4"/>
  <c r="M19" i="4"/>
  <c r="J20" i="4"/>
  <c r="H20" i="4"/>
  <c r="K20" i="4"/>
  <c r="M20" i="4"/>
  <c r="J21" i="4"/>
  <c r="H21" i="4"/>
  <c r="K21" i="4"/>
  <c r="M21" i="4"/>
  <c r="J22" i="4"/>
  <c r="H22" i="4"/>
  <c r="K22" i="4"/>
  <c r="M22" i="4"/>
  <c r="J23" i="4"/>
  <c r="K23" i="4"/>
  <c r="M23" i="4"/>
  <c r="J24" i="4"/>
  <c r="K24" i="4"/>
  <c r="M24" i="4"/>
  <c r="J25" i="4"/>
  <c r="K25" i="4"/>
  <c r="M25" i="4"/>
  <c r="J26" i="4"/>
  <c r="K26" i="4"/>
  <c r="M26" i="4"/>
  <c r="M27" i="4"/>
  <c r="BF14" i="4"/>
  <c r="BL14" i="4"/>
  <c r="L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BC15" i="4"/>
  <c r="BE15" i="4"/>
  <c r="L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BC16" i="4"/>
  <c r="BE16" i="4"/>
  <c r="L17" i="4"/>
  <c r="T17" i="4"/>
  <c r="U17" i="4"/>
  <c r="V17" i="4"/>
  <c r="W17" i="4"/>
  <c r="X17" i="4"/>
  <c r="Y17" i="4"/>
  <c r="Z17" i="4"/>
  <c r="AA17" i="4"/>
  <c r="AC17" i="4"/>
  <c r="AD17" i="4"/>
  <c r="AE17" i="4"/>
  <c r="AF17" i="4"/>
  <c r="AG17" i="4"/>
  <c r="AH17" i="4"/>
  <c r="AI17" i="4"/>
  <c r="AJ17" i="4"/>
  <c r="BC17" i="4"/>
  <c r="BE17" i="4"/>
  <c r="L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BC18" i="4"/>
  <c r="BE18" i="4"/>
  <c r="L19" i="4"/>
  <c r="T19" i="4"/>
  <c r="U19" i="4"/>
  <c r="V19" i="4"/>
  <c r="W19" i="4"/>
  <c r="X19" i="4"/>
  <c r="Y19" i="4"/>
  <c r="Z19" i="4"/>
  <c r="AB19" i="4"/>
  <c r="AC19" i="4"/>
  <c r="AD19" i="4"/>
  <c r="AE19" i="4"/>
  <c r="AF19" i="4"/>
  <c r="AG19" i="4"/>
  <c r="AH19" i="4"/>
  <c r="AI19" i="4"/>
  <c r="AJ19" i="4"/>
  <c r="BC19" i="4"/>
  <c r="BE19" i="4"/>
  <c r="L20" i="4"/>
  <c r="T20" i="4"/>
  <c r="U20" i="4"/>
  <c r="V20" i="4"/>
  <c r="W20" i="4"/>
  <c r="X20" i="4"/>
  <c r="Y20" i="4"/>
  <c r="Z20" i="4"/>
  <c r="AB20" i="4"/>
  <c r="AC20" i="4"/>
  <c r="AD20" i="4"/>
  <c r="AE20" i="4"/>
  <c r="AF20" i="4"/>
  <c r="AG20" i="4"/>
  <c r="AH20" i="4"/>
  <c r="AI20" i="4"/>
  <c r="AJ20" i="4"/>
  <c r="BC20" i="4"/>
  <c r="BE20" i="4"/>
  <c r="L21" i="4"/>
  <c r="T21" i="4"/>
  <c r="U21" i="4"/>
  <c r="V21" i="4"/>
  <c r="W21" i="4"/>
  <c r="X21" i="4"/>
  <c r="Y21" i="4"/>
  <c r="Z21" i="4"/>
  <c r="AC21" i="4"/>
  <c r="AD21" i="4"/>
  <c r="AE21" i="4"/>
  <c r="AF21" i="4"/>
  <c r="AG21" i="4"/>
  <c r="AH21" i="4"/>
  <c r="AI21" i="4"/>
  <c r="AJ21" i="4"/>
  <c r="BC21" i="4"/>
  <c r="BE21" i="4"/>
  <c r="L22" i="4"/>
  <c r="T22" i="4"/>
  <c r="U22" i="4"/>
  <c r="V22" i="4"/>
  <c r="W22" i="4"/>
  <c r="X22" i="4"/>
  <c r="Y22" i="4"/>
  <c r="Z22" i="4"/>
  <c r="AF22" i="4"/>
  <c r="AI22" i="4"/>
  <c r="AJ22" i="4"/>
  <c r="BC22" i="4"/>
  <c r="BE22" i="4"/>
  <c r="L23" i="4"/>
  <c r="AG23" i="4"/>
  <c r="AH23" i="4"/>
  <c r="BC23" i="4"/>
  <c r="BE23" i="4"/>
  <c r="L24" i="4"/>
  <c r="BC24" i="4"/>
  <c r="BE24" i="4"/>
  <c r="L25" i="4"/>
  <c r="BC25" i="4"/>
  <c r="BE25" i="4"/>
  <c r="L26" i="4"/>
  <c r="BC26" i="4"/>
  <c r="BE26" i="4"/>
  <c r="H39" i="4"/>
  <c r="J39" i="4"/>
  <c r="K39" i="4"/>
  <c r="L39" i="4"/>
  <c r="M39" i="4"/>
  <c r="H40" i="4"/>
  <c r="J40" i="4"/>
  <c r="K40" i="4"/>
  <c r="L40" i="4"/>
  <c r="M40" i="4"/>
  <c r="T40" i="4"/>
  <c r="U40" i="4"/>
  <c r="V40" i="4"/>
  <c r="W40" i="4"/>
  <c r="X40" i="4"/>
  <c r="Y40" i="4"/>
  <c r="Z40" i="4"/>
  <c r="AA40" i="4"/>
  <c r="AC40" i="4"/>
  <c r="AD40" i="4"/>
  <c r="AE40" i="4"/>
  <c r="AF40" i="4"/>
  <c r="AG40" i="4"/>
  <c r="AH40" i="4"/>
  <c r="AI40" i="4"/>
  <c r="AJ40" i="4"/>
  <c r="AB48" i="4"/>
  <c r="AE48" i="4"/>
  <c r="AC48" i="4"/>
  <c r="AD48" i="4"/>
  <c r="AG48" i="4"/>
  <c r="AH48" i="4"/>
  <c r="AK40" i="4"/>
  <c r="AY40" i="4"/>
  <c r="AZ40" i="4"/>
  <c r="BA40" i="4"/>
  <c r="BB40" i="4"/>
  <c r="BC40" i="4"/>
  <c r="BD40" i="4"/>
  <c r="BE40" i="4"/>
  <c r="AZ41" i="4"/>
  <c r="BA41" i="4"/>
  <c r="AY41" i="4"/>
  <c r="BB41" i="4"/>
  <c r="BD41" i="4"/>
  <c r="AZ42" i="4"/>
  <c r="BA42" i="4"/>
  <c r="AY42" i="4"/>
  <c r="BB42" i="4"/>
  <c r="BD42" i="4"/>
  <c r="AZ43" i="4"/>
  <c r="BA43" i="4"/>
  <c r="AY43" i="4"/>
  <c r="BB43" i="4"/>
  <c r="BD43" i="4"/>
  <c r="AZ44" i="4"/>
  <c r="BA44" i="4"/>
  <c r="AY44" i="4"/>
  <c r="BB44" i="4"/>
  <c r="BD44" i="4"/>
  <c r="AZ45" i="4"/>
  <c r="BA45" i="4"/>
  <c r="AY45" i="4"/>
  <c r="BB45" i="4"/>
  <c r="BD45" i="4"/>
  <c r="AZ46" i="4"/>
  <c r="BA46" i="4"/>
  <c r="AY46" i="4"/>
  <c r="BB46" i="4"/>
  <c r="BD46" i="4"/>
  <c r="AZ47" i="4"/>
  <c r="BA47" i="4"/>
  <c r="AY47" i="4"/>
  <c r="BB47" i="4"/>
  <c r="BD47" i="4"/>
  <c r="AZ48" i="4"/>
  <c r="BA48" i="4"/>
  <c r="AY48" i="4"/>
  <c r="BB48" i="4"/>
  <c r="BD48" i="4"/>
  <c r="AZ49" i="4"/>
  <c r="BA49" i="4"/>
  <c r="AY49" i="4"/>
  <c r="BB49" i="4"/>
  <c r="BD49" i="4"/>
  <c r="AZ50" i="4"/>
  <c r="BA50" i="4"/>
  <c r="AY50" i="4"/>
  <c r="BB50" i="4"/>
  <c r="BD50" i="4"/>
  <c r="AZ51" i="4"/>
  <c r="BA51" i="4"/>
  <c r="AY51" i="4"/>
  <c r="BB51" i="4"/>
  <c r="BD51" i="4"/>
  <c r="AZ52" i="4"/>
  <c r="BA52" i="4"/>
  <c r="AY52" i="4"/>
  <c r="BB52" i="4"/>
  <c r="BD52" i="4"/>
  <c r="BD53" i="4"/>
  <c r="J41" i="4"/>
  <c r="H41" i="4"/>
  <c r="K41" i="4"/>
  <c r="M41" i="4"/>
  <c r="J42" i="4"/>
  <c r="H42" i="4"/>
  <c r="K42" i="4"/>
  <c r="M42" i="4"/>
  <c r="J43" i="4"/>
  <c r="H43" i="4"/>
  <c r="K43" i="4"/>
  <c r="M43" i="4"/>
  <c r="J44" i="4"/>
  <c r="H44" i="4"/>
  <c r="K44" i="4"/>
  <c r="M44" i="4"/>
  <c r="J45" i="4"/>
  <c r="H45" i="4"/>
  <c r="K45" i="4"/>
  <c r="M45" i="4"/>
  <c r="J46" i="4"/>
  <c r="H46" i="4"/>
  <c r="K46" i="4"/>
  <c r="M46" i="4"/>
  <c r="J47" i="4"/>
  <c r="H47" i="4"/>
  <c r="K47" i="4"/>
  <c r="M47" i="4"/>
  <c r="J48" i="4"/>
  <c r="K48" i="4"/>
  <c r="M48" i="4"/>
  <c r="J49" i="4"/>
  <c r="K49" i="4"/>
  <c r="M49" i="4"/>
  <c r="J50" i="4"/>
  <c r="K50" i="4"/>
  <c r="M50" i="4"/>
  <c r="J51" i="4"/>
  <c r="K51" i="4"/>
  <c r="M51" i="4"/>
  <c r="M52" i="4"/>
  <c r="BF40" i="4"/>
  <c r="L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BC41" i="4"/>
  <c r="BE41" i="4"/>
  <c r="L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BC42" i="4"/>
  <c r="BE42" i="4"/>
  <c r="L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BC43" i="4"/>
  <c r="BE43" i="4"/>
  <c r="L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BC44" i="4"/>
  <c r="BE44" i="4"/>
  <c r="L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BC45" i="4"/>
  <c r="BE45" i="4"/>
  <c r="L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BC46" i="4"/>
  <c r="BE46" i="4"/>
  <c r="L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BC47" i="4"/>
  <c r="BE47" i="4"/>
  <c r="L48" i="4"/>
  <c r="T48" i="4"/>
  <c r="U48" i="4"/>
  <c r="V48" i="4"/>
  <c r="W48" i="4"/>
  <c r="X48" i="4"/>
  <c r="Y48" i="4"/>
  <c r="Z48" i="4"/>
  <c r="AA48" i="4"/>
  <c r="AF48" i="4"/>
  <c r="AI48" i="4"/>
  <c r="AJ48" i="4"/>
  <c r="BC48" i="4"/>
  <c r="BE48" i="4"/>
  <c r="L49" i="4"/>
  <c r="AG49" i="4"/>
  <c r="AH49" i="4"/>
  <c r="BC49" i="4"/>
  <c r="BE49" i="4"/>
  <c r="L50" i="4"/>
  <c r="BC50" i="4"/>
  <c r="BE50" i="4"/>
  <c r="L51" i="4"/>
  <c r="BC51" i="4"/>
  <c r="BE51" i="4"/>
  <c r="BC52" i="4"/>
  <c r="BE52" i="4"/>
  <c r="H64" i="4"/>
  <c r="J64" i="4"/>
  <c r="K64" i="4"/>
  <c r="L64" i="4"/>
  <c r="M64" i="4"/>
  <c r="H65" i="4"/>
  <c r="J65" i="4"/>
  <c r="K65" i="4"/>
  <c r="L65" i="4"/>
  <c r="M65" i="4"/>
  <c r="T65" i="4"/>
  <c r="U65" i="4"/>
  <c r="V65" i="4"/>
  <c r="W65" i="4"/>
  <c r="X65" i="4"/>
  <c r="Y65" i="4"/>
  <c r="Z65" i="4"/>
  <c r="AA65" i="4"/>
  <c r="AC65" i="4"/>
  <c r="AD65" i="4"/>
  <c r="AE65" i="4"/>
  <c r="AF65" i="4"/>
  <c r="AG65" i="4"/>
  <c r="AH65" i="4"/>
  <c r="AI65" i="4"/>
  <c r="AJ65" i="4"/>
  <c r="AE73" i="4"/>
  <c r="AC73" i="4"/>
  <c r="AD73" i="4"/>
  <c r="AG73" i="4"/>
  <c r="AH73" i="4"/>
  <c r="AK65" i="4"/>
  <c r="AY65" i="4"/>
  <c r="AZ65" i="4"/>
  <c r="BA65" i="4"/>
  <c r="BB65" i="4"/>
  <c r="BC65" i="4"/>
  <c r="BD65" i="4"/>
  <c r="BE65" i="4"/>
  <c r="AZ66" i="4"/>
  <c r="BA66" i="4"/>
  <c r="AY66" i="4"/>
  <c r="BB66" i="4"/>
  <c r="BD66" i="4"/>
  <c r="AZ67" i="4"/>
  <c r="BA67" i="4"/>
  <c r="AY67" i="4"/>
  <c r="BB67" i="4"/>
  <c r="BD67" i="4"/>
  <c r="AZ68" i="4"/>
  <c r="BA68" i="4"/>
  <c r="AY68" i="4"/>
  <c r="BB68" i="4"/>
  <c r="BD68" i="4"/>
  <c r="AZ69" i="4"/>
  <c r="BA69" i="4"/>
  <c r="AY69" i="4"/>
  <c r="BB69" i="4"/>
  <c r="BD69" i="4"/>
  <c r="AZ70" i="4"/>
  <c r="BA70" i="4"/>
  <c r="AY70" i="4"/>
  <c r="BB70" i="4"/>
  <c r="BD70" i="4"/>
  <c r="AZ71" i="4"/>
  <c r="BA71" i="4"/>
  <c r="AY71" i="4"/>
  <c r="BB71" i="4"/>
  <c r="BD71" i="4"/>
  <c r="AZ72" i="4"/>
  <c r="BA72" i="4"/>
  <c r="AY72" i="4"/>
  <c r="BB72" i="4"/>
  <c r="BD72" i="4"/>
  <c r="AZ73" i="4"/>
  <c r="BA73" i="4"/>
  <c r="AY73" i="4"/>
  <c r="BB73" i="4"/>
  <c r="BD73" i="4"/>
  <c r="AZ74" i="4"/>
  <c r="BA74" i="4"/>
  <c r="AY74" i="4"/>
  <c r="BB74" i="4"/>
  <c r="BD74" i="4"/>
  <c r="AZ75" i="4"/>
  <c r="BA75" i="4"/>
  <c r="AY75" i="4"/>
  <c r="BB75" i="4"/>
  <c r="BD75" i="4"/>
  <c r="AZ76" i="4"/>
  <c r="BA76" i="4"/>
  <c r="AY76" i="4"/>
  <c r="BB76" i="4"/>
  <c r="BD76" i="4"/>
  <c r="AZ77" i="4"/>
  <c r="BA77" i="4"/>
  <c r="AY77" i="4"/>
  <c r="BB77" i="4"/>
  <c r="BD77" i="4"/>
  <c r="BD78" i="4"/>
  <c r="J66" i="4"/>
  <c r="H66" i="4"/>
  <c r="K66" i="4"/>
  <c r="M66" i="4"/>
  <c r="J67" i="4"/>
  <c r="H67" i="4"/>
  <c r="K67" i="4"/>
  <c r="M67" i="4"/>
  <c r="J68" i="4"/>
  <c r="H68" i="4"/>
  <c r="K68" i="4"/>
  <c r="M68" i="4"/>
  <c r="J69" i="4"/>
  <c r="H69" i="4"/>
  <c r="K69" i="4"/>
  <c r="M69" i="4"/>
  <c r="J70" i="4"/>
  <c r="H70" i="4"/>
  <c r="K70" i="4"/>
  <c r="M70" i="4"/>
  <c r="J71" i="4"/>
  <c r="H71" i="4"/>
  <c r="K71" i="4"/>
  <c r="M71" i="4"/>
  <c r="J72" i="4"/>
  <c r="H72" i="4"/>
  <c r="K72" i="4"/>
  <c r="M72" i="4"/>
  <c r="J73" i="4"/>
  <c r="K73" i="4"/>
  <c r="M73" i="4"/>
  <c r="J74" i="4"/>
  <c r="K74" i="4"/>
  <c r="M74" i="4"/>
  <c r="J75" i="4"/>
  <c r="K75" i="4"/>
  <c r="M75" i="4"/>
  <c r="J76" i="4"/>
  <c r="K76" i="4"/>
  <c r="M76" i="4"/>
  <c r="M77" i="4"/>
  <c r="BF65" i="4"/>
  <c r="L66" i="4"/>
  <c r="T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BC66" i="4"/>
  <c r="BE66" i="4"/>
  <c r="L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BC67" i="4"/>
  <c r="BE67" i="4"/>
  <c r="L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BC68" i="4"/>
  <c r="BE68" i="4"/>
  <c r="L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BC69" i="4"/>
  <c r="BE69" i="4"/>
  <c r="L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BC70" i="4"/>
  <c r="BE70" i="4"/>
  <c r="L71" i="4"/>
  <c r="T71" i="4"/>
  <c r="U71" i="4"/>
  <c r="V71" i="4"/>
  <c r="W71" i="4"/>
  <c r="X71" i="4"/>
  <c r="Y71" i="4"/>
  <c r="Z71" i="4"/>
  <c r="AA71" i="4"/>
  <c r="AC71" i="4"/>
  <c r="AD71" i="4"/>
  <c r="AE71" i="4"/>
  <c r="AF71" i="4"/>
  <c r="AG71" i="4"/>
  <c r="AH71" i="4"/>
  <c r="AI71" i="4"/>
  <c r="AJ71" i="4"/>
  <c r="BC71" i="4"/>
  <c r="BE71" i="4"/>
  <c r="L72" i="4"/>
  <c r="T72" i="4"/>
  <c r="U72" i="4"/>
  <c r="V72" i="4"/>
  <c r="W72" i="4"/>
  <c r="X72" i="4"/>
  <c r="Y72" i="4"/>
  <c r="Z72" i="4"/>
  <c r="AA72" i="4"/>
  <c r="AC72" i="4"/>
  <c r="AD72" i="4"/>
  <c r="AE72" i="4"/>
  <c r="AF72" i="4"/>
  <c r="AG72" i="4"/>
  <c r="AH72" i="4"/>
  <c r="AI72" i="4"/>
  <c r="AJ72" i="4"/>
  <c r="BC72" i="4"/>
  <c r="BE72" i="4"/>
  <c r="L73" i="4"/>
  <c r="T73" i="4"/>
  <c r="U73" i="4"/>
  <c r="W73" i="4"/>
  <c r="X73" i="4"/>
  <c r="Z73" i="4"/>
  <c r="AA73" i="4"/>
  <c r="AF73" i="4"/>
  <c r="AI73" i="4"/>
  <c r="AJ73" i="4"/>
  <c r="BC73" i="4"/>
  <c r="BE73" i="4"/>
  <c r="L74" i="4"/>
  <c r="AG74" i="4"/>
  <c r="AH74" i="4"/>
  <c r="BC74" i="4"/>
  <c r="BE74" i="4"/>
  <c r="L75" i="4"/>
  <c r="BC75" i="4"/>
  <c r="BE75" i="4"/>
  <c r="L76" i="4"/>
  <c r="BC76" i="4"/>
  <c r="BE76" i="4"/>
  <c r="BC77" i="4"/>
  <c r="BE77" i="4"/>
  <c r="AY89" i="4"/>
  <c r="BA89" i="4"/>
  <c r="BB89" i="4"/>
  <c r="BC89" i="4"/>
  <c r="BD89" i="4"/>
  <c r="J91" i="4"/>
  <c r="H91" i="4"/>
  <c r="K91" i="4"/>
  <c r="M91" i="4"/>
  <c r="BE89" i="4"/>
  <c r="BA90" i="4"/>
  <c r="AY90" i="4"/>
  <c r="BB90" i="4"/>
  <c r="BD90" i="4"/>
  <c r="BA91" i="4"/>
  <c r="AY91" i="4"/>
  <c r="BB91" i="4"/>
  <c r="BD91" i="4"/>
  <c r="BA92" i="4"/>
  <c r="AY92" i="4"/>
  <c r="BB92" i="4"/>
  <c r="BD92" i="4"/>
  <c r="BA93" i="4"/>
  <c r="AY93" i="4"/>
  <c r="BB93" i="4"/>
  <c r="BD93" i="4"/>
  <c r="BA94" i="4"/>
  <c r="AY94" i="4"/>
  <c r="BB94" i="4"/>
  <c r="BD94" i="4"/>
  <c r="BA95" i="4"/>
  <c r="AY95" i="4"/>
  <c r="BB95" i="4"/>
  <c r="BD95" i="4"/>
  <c r="BA96" i="4"/>
  <c r="AY96" i="4"/>
  <c r="BB96" i="4"/>
  <c r="BD96" i="4"/>
  <c r="BA97" i="4"/>
  <c r="AY97" i="4"/>
  <c r="BB97" i="4"/>
  <c r="BD97" i="4"/>
  <c r="BA98" i="4"/>
  <c r="AY98" i="4"/>
  <c r="BB98" i="4"/>
  <c r="BD98" i="4"/>
  <c r="BA99" i="4"/>
  <c r="AY99" i="4"/>
  <c r="BB99" i="4"/>
  <c r="BD99" i="4"/>
  <c r="BA100" i="4"/>
  <c r="AY100" i="4"/>
  <c r="BB100" i="4"/>
  <c r="BD100" i="4"/>
  <c r="BA101" i="4"/>
  <c r="AY101" i="4"/>
  <c r="BB101" i="4"/>
  <c r="BD101" i="4"/>
  <c r="BD102" i="4"/>
  <c r="J90" i="4"/>
  <c r="H90" i="4"/>
  <c r="K90" i="4"/>
  <c r="M90" i="4"/>
  <c r="J92" i="4"/>
  <c r="H92" i="4"/>
  <c r="K92" i="4"/>
  <c r="M92" i="4"/>
  <c r="J93" i="4"/>
  <c r="H93" i="4"/>
  <c r="K93" i="4"/>
  <c r="M93" i="4"/>
  <c r="J94" i="4"/>
  <c r="H94" i="4"/>
  <c r="K94" i="4"/>
  <c r="M94" i="4"/>
  <c r="J95" i="4"/>
  <c r="H95" i="4"/>
  <c r="K95" i="4"/>
  <c r="M95" i="4"/>
  <c r="J96" i="4"/>
  <c r="H96" i="4"/>
  <c r="K96" i="4"/>
  <c r="M96" i="4"/>
  <c r="J97" i="4"/>
  <c r="H97" i="4"/>
  <c r="K97" i="4"/>
  <c r="M97" i="4"/>
  <c r="J98" i="4"/>
  <c r="H98" i="4"/>
  <c r="K98" i="4"/>
  <c r="M98" i="4"/>
  <c r="J99" i="4"/>
  <c r="K99" i="4"/>
  <c r="M99" i="4"/>
  <c r="J100" i="4"/>
  <c r="K100" i="4"/>
  <c r="M100" i="4"/>
  <c r="J101" i="4"/>
  <c r="K101" i="4"/>
  <c r="M101" i="4"/>
  <c r="M103" i="4"/>
  <c r="BF89" i="4"/>
  <c r="L90" i="4"/>
  <c r="BC90" i="4"/>
  <c r="BE90" i="4"/>
  <c r="L91" i="4"/>
  <c r="T91" i="4"/>
  <c r="U91" i="4"/>
  <c r="W91" i="4"/>
  <c r="X91" i="4"/>
  <c r="Y91" i="4"/>
  <c r="AC91" i="4"/>
  <c r="AD91" i="4"/>
  <c r="AE91" i="4"/>
  <c r="AF91" i="4"/>
  <c r="AG91" i="4"/>
  <c r="AH91" i="4"/>
  <c r="AI91" i="4"/>
  <c r="AJ91" i="4"/>
  <c r="AE99" i="4"/>
  <c r="AC99" i="4"/>
  <c r="AD99" i="4"/>
  <c r="AG99" i="4"/>
  <c r="AH99" i="4"/>
  <c r="AK91" i="4"/>
  <c r="BC91" i="4"/>
  <c r="BE91" i="4"/>
  <c r="L92" i="4"/>
  <c r="T92" i="4"/>
  <c r="U92" i="4"/>
  <c r="W92" i="4"/>
  <c r="X92" i="4"/>
  <c r="Y92" i="4"/>
  <c r="Z92" i="4"/>
  <c r="AC92" i="4"/>
  <c r="AD92" i="4"/>
  <c r="AE92" i="4"/>
  <c r="AF92" i="4"/>
  <c r="AG92" i="4"/>
  <c r="AH92" i="4"/>
  <c r="AI92" i="4"/>
  <c r="AJ92" i="4"/>
  <c r="BC92" i="4"/>
  <c r="BE92" i="4"/>
  <c r="L93" i="4"/>
  <c r="T93" i="4"/>
  <c r="U93" i="4"/>
  <c r="W93" i="4"/>
  <c r="X93" i="4"/>
  <c r="Y93" i="4"/>
  <c r="Z93" i="4"/>
  <c r="AC93" i="4"/>
  <c r="AD93" i="4"/>
  <c r="AE93" i="4"/>
  <c r="AF93" i="4"/>
  <c r="AG93" i="4"/>
  <c r="AH93" i="4"/>
  <c r="AI93" i="4"/>
  <c r="AJ93" i="4"/>
  <c r="BC93" i="4"/>
  <c r="BE93" i="4"/>
  <c r="L94" i="4"/>
  <c r="T94" i="4"/>
  <c r="U94" i="4"/>
  <c r="V94" i="4"/>
  <c r="W94" i="4"/>
  <c r="X94" i="4"/>
  <c r="Y94" i="4"/>
  <c r="AC94" i="4"/>
  <c r="AD94" i="4"/>
  <c r="AE94" i="4"/>
  <c r="AF94" i="4"/>
  <c r="AG94" i="4"/>
  <c r="AH94" i="4"/>
  <c r="AI94" i="4"/>
  <c r="AJ94" i="4"/>
  <c r="BC94" i="4"/>
  <c r="BE94" i="4"/>
  <c r="L95" i="4"/>
  <c r="T95" i="4"/>
  <c r="U95" i="4"/>
  <c r="V95" i="4"/>
  <c r="W95" i="4"/>
  <c r="X95" i="4"/>
  <c r="Y95" i="4"/>
  <c r="AC95" i="4"/>
  <c r="AD95" i="4"/>
  <c r="AE95" i="4"/>
  <c r="AF95" i="4"/>
  <c r="AG95" i="4"/>
  <c r="AH95" i="4"/>
  <c r="AI95" i="4"/>
  <c r="AJ95" i="4"/>
  <c r="BC95" i="4"/>
  <c r="BE95" i="4"/>
  <c r="L96" i="4"/>
  <c r="T96" i="4"/>
  <c r="U96" i="4"/>
  <c r="V96" i="4"/>
  <c r="W96" i="4"/>
  <c r="X96" i="4"/>
  <c r="Z96" i="4"/>
  <c r="AC96" i="4"/>
  <c r="AD96" i="4"/>
  <c r="AE96" i="4"/>
  <c r="AF96" i="4"/>
  <c r="AG96" i="4"/>
  <c r="AH96" i="4"/>
  <c r="AI96" i="4"/>
  <c r="AJ96" i="4"/>
  <c r="BC96" i="4"/>
  <c r="BE96" i="4"/>
  <c r="L97" i="4"/>
  <c r="T97" i="4"/>
  <c r="U97" i="4"/>
  <c r="V97" i="4"/>
  <c r="W97" i="4"/>
  <c r="X97" i="4"/>
  <c r="Z97" i="4"/>
  <c r="AC97" i="4"/>
  <c r="AD97" i="4"/>
  <c r="AE97" i="4"/>
  <c r="AF97" i="4"/>
  <c r="AG97" i="4"/>
  <c r="AH97" i="4"/>
  <c r="AI97" i="4"/>
  <c r="AJ97" i="4"/>
  <c r="BC97" i="4"/>
  <c r="BE97" i="4"/>
  <c r="L98" i="4"/>
  <c r="T98" i="4"/>
  <c r="U98" i="4"/>
  <c r="V98" i="4"/>
  <c r="W98" i="4"/>
  <c r="X98" i="4"/>
  <c r="Y98" i="4"/>
  <c r="Z98" i="4"/>
  <c r="AC98" i="4"/>
  <c r="AD98" i="4"/>
  <c r="AE98" i="4"/>
  <c r="AF98" i="4"/>
  <c r="AG98" i="4"/>
  <c r="AH98" i="4"/>
  <c r="AI98" i="4"/>
  <c r="AJ98" i="4"/>
  <c r="BC98" i="4"/>
  <c r="BE98" i="4"/>
  <c r="L99" i="4"/>
  <c r="T99" i="4"/>
  <c r="U99" i="4"/>
  <c r="V99" i="4"/>
  <c r="W99" i="4"/>
  <c r="X99" i="4"/>
  <c r="Y99" i="4"/>
  <c r="Z99" i="4"/>
  <c r="AF99" i="4"/>
  <c r="AI99" i="4"/>
  <c r="AJ99" i="4"/>
  <c r="BC99" i="4"/>
  <c r="BE99" i="4"/>
  <c r="L100" i="4"/>
  <c r="AG100" i="4"/>
  <c r="AH100" i="4"/>
  <c r="BC100" i="4"/>
  <c r="J102" i="4"/>
  <c r="K102" i="4"/>
  <c r="M102" i="4"/>
  <c r="BE100" i="4"/>
  <c r="L101" i="4"/>
  <c r="BC101" i="4"/>
  <c r="BE101" i="4"/>
  <c r="L102" i="4"/>
  <c r="H116" i="4"/>
  <c r="J116" i="4"/>
  <c r="K116" i="4"/>
  <c r="L116" i="4"/>
  <c r="M116" i="4"/>
  <c r="H117" i="4"/>
  <c r="J117" i="4"/>
  <c r="K117" i="4"/>
  <c r="L117" i="4"/>
  <c r="M117" i="4"/>
  <c r="T117" i="4"/>
  <c r="W117" i="4"/>
  <c r="X117" i="4"/>
  <c r="Y117" i="4"/>
  <c r="AC117" i="4"/>
  <c r="AD117" i="4"/>
  <c r="AE117" i="4"/>
  <c r="AF117" i="4"/>
  <c r="AG117" i="4"/>
  <c r="AH117" i="4"/>
  <c r="AI117" i="4"/>
  <c r="AJ117" i="4"/>
  <c r="AE125" i="4"/>
  <c r="AC125" i="4"/>
  <c r="AD125" i="4"/>
  <c r="AG125" i="4"/>
  <c r="AH125" i="4"/>
  <c r="AK117" i="4"/>
  <c r="AY117" i="4"/>
  <c r="BA117" i="4"/>
  <c r="BB117" i="4"/>
  <c r="BC117" i="4"/>
  <c r="BD117" i="4"/>
  <c r="BE117" i="4"/>
  <c r="BA118" i="4"/>
  <c r="AY118" i="4"/>
  <c r="BB118" i="4"/>
  <c r="BD118" i="4"/>
  <c r="BA119" i="4"/>
  <c r="AY119" i="4"/>
  <c r="BB119" i="4"/>
  <c r="BD119" i="4"/>
  <c r="BA120" i="4"/>
  <c r="AY120" i="4"/>
  <c r="BB120" i="4"/>
  <c r="BD120" i="4"/>
  <c r="BA121" i="4"/>
  <c r="AY121" i="4"/>
  <c r="BB121" i="4"/>
  <c r="BD121" i="4"/>
  <c r="BA122" i="4"/>
  <c r="AY122" i="4"/>
  <c r="BB122" i="4"/>
  <c r="BD122" i="4"/>
  <c r="BA123" i="4"/>
  <c r="AY123" i="4"/>
  <c r="BB123" i="4"/>
  <c r="BD123" i="4"/>
  <c r="BA124" i="4"/>
  <c r="AY124" i="4"/>
  <c r="BB124" i="4"/>
  <c r="BD124" i="4"/>
  <c r="BA125" i="4"/>
  <c r="AY125" i="4"/>
  <c r="BB125" i="4"/>
  <c r="BD125" i="4"/>
  <c r="BA126" i="4"/>
  <c r="AY126" i="4"/>
  <c r="BB126" i="4"/>
  <c r="BD126" i="4"/>
  <c r="BA127" i="4"/>
  <c r="AY127" i="4"/>
  <c r="BB127" i="4"/>
  <c r="BD127" i="4"/>
  <c r="BA128" i="4"/>
  <c r="AY128" i="4"/>
  <c r="BB128" i="4"/>
  <c r="BD128" i="4"/>
  <c r="BA129" i="4"/>
  <c r="AY129" i="4"/>
  <c r="BB129" i="4"/>
  <c r="BD129" i="4"/>
  <c r="BD130" i="4"/>
  <c r="J118" i="4"/>
  <c r="H118" i="4"/>
  <c r="K118" i="4"/>
  <c r="M118" i="4"/>
  <c r="J119" i="4"/>
  <c r="H119" i="4"/>
  <c r="K119" i="4"/>
  <c r="M119" i="4"/>
  <c r="J120" i="4"/>
  <c r="H120" i="4"/>
  <c r="K120" i="4"/>
  <c r="M120" i="4"/>
  <c r="J121" i="4"/>
  <c r="H121" i="4"/>
  <c r="K121" i="4"/>
  <c r="M121" i="4"/>
  <c r="J122" i="4"/>
  <c r="H122" i="4"/>
  <c r="K122" i="4"/>
  <c r="M122" i="4"/>
  <c r="J123" i="4"/>
  <c r="H123" i="4"/>
  <c r="K123" i="4"/>
  <c r="M123" i="4"/>
  <c r="J124" i="4"/>
  <c r="H124" i="4"/>
  <c r="K124" i="4"/>
  <c r="M124" i="4"/>
  <c r="J125" i="4"/>
  <c r="K125" i="4"/>
  <c r="M125" i="4"/>
  <c r="J126" i="4"/>
  <c r="K126" i="4"/>
  <c r="M126" i="4"/>
  <c r="J127" i="4"/>
  <c r="K127" i="4"/>
  <c r="M127" i="4"/>
  <c r="M129" i="4"/>
  <c r="BF117" i="4"/>
  <c r="L118" i="4"/>
  <c r="T118" i="4"/>
  <c r="V118" i="4"/>
  <c r="W118" i="4"/>
  <c r="X118" i="4"/>
  <c r="Y118" i="4"/>
  <c r="Z118" i="4"/>
  <c r="AA118" i="4"/>
  <c r="AC118" i="4"/>
  <c r="AD118" i="4"/>
  <c r="AE118" i="4"/>
  <c r="AF118" i="4"/>
  <c r="AG118" i="4"/>
  <c r="AH118" i="4"/>
  <c r="AI118" i="4"/>
  <c r="AJ118" i="4"/>
  <c r="BC118" i="4"/>
  <c r="BE118" i="4"/>
  <c r="L119" i="4"/>
  <c r="T119" i="4"/>
  <c r="V119" i="4"/>
  <c r="W119" i="4"/>
  <c r="X119" i="4"/>
  <c r="Y119" i="4"/>
  <c r="Z119" i="4"/>
  <c r="AA119" i="4"/>
  <c r="AC119" i="4"/>
  <c r="AD119" i="4"/>
  <c r="AE119" i="4"/>
  <c r="AF119" i="4"/>
  <c r="AG119" i="4"/>
  <c r="AH119" i="4"/>
  <c r="AI119" i="4"/>
  <c r="AJ119" i="4"/>
  <c r="BC119" i="4"/>
  <c r="BE119" i="4"/>
  <c r="L120" i="4"/>
  <c r="T120" i="4"/>
  <c r="V120" i="4"/>
  <c r="W120" i="4"/>
  <c r="X120" i="4"/>
  <c r="Y120" i="4"/>
  <c r="Z120" i="4"/>
  <c r="AA120" i="4"/>
  <c r="AC120" i="4"/>
  <c r="AD120" i="4"/>
  <c r="AE120" i="4"/>
  <c r="AF120" i="4"/>
  <c r="AG120" i="4"/>
  <c r="AH120" i="4"/>
  <c r="AI120" i="4"/>
  <c r="AJ120" i="4"/>
  <c r="BC120" i="4"/>
  <c r="BE120" i="4"/>
  <c r="L121" i="4"/>
  <c r="T121" i="4"/>
  <c r="U121" i="4"/>
  <c r="V121" i="4"/>
  <c r="W121" i="4"/>
  <c r="X121" i="4"/>
  <c r="Y121" i="4"/>
  <c r="AA121" i="4"/>
  <c r="AC121" i="4"/>
  <c r="AD121" i="4"/>
  <c r="AE121" i="4"/>
  <c r="AF121" i="4"/>
  <c r="AG121" i="4"/>
  <c r="AH121" i="4"/>
  <c r="AI121" i="4"/>
  <c r="AJ121" i="4"/>
  <c r="BC121" i="4"/>
  <c r="BE121" i="4"/>
  <c r="L122" i="4"/>
  <c r="T122" i="4"/>
  <c r="U122" i="4"/>
  <c r="V122" i="4"/>
  <c r="W122" i="4"/>
  <c r="X122" i="4"/>
  <c r="Y122" i="4"/>
  <c r="Z122" i="4"/>
  <c r="AC122" i="4"/>
  <c r="AD122" i="4"/>
  <c r="AE122" i="4"/>
  <c r="AF122" i="4"/>
  <c r="AG122" i="4"/>
  <c r="AH122" i="4"/>
  <c r="AI122" i="4"/>
  <c r="AJ122" i="4"/>
  <c r="BC122" i="4"/>
  <c r="BE122" i="4"/>
  <c r="L123" i="4"/>
  <c r="T123" i="4"/>
  <c r="U123" i="4"/>
  <c r="V123" i="4"/>
  <c r="W123" i="4"/>
  <c r="X123" i="4"/>
  <c r="Y123" i="4"/>
  <c r="Z123" i="4"/>
  <c r="AC123" i="4"/>
  <c r="AD123" i="4"/>
  <c r="AE123" i="4"/>
  <c r="AF123" i="4"/>
  <c r="AG123" i="4"/>
  <c r="AH123" i="4"/>
  <c r="AI123" i="4"/>
  <c r="AJ123" i="4"/>
  <c r="BC123" i="4"/>
  <c r="BE123" i="4"/>
  <c r="L124" i="4"/>
  <c r="T124" i="4"/>
  <c r="U124" i="4"/>
  <c r="V124" i="4"/>
  <c r="W124" i="4"/>
  <c r="Y124" i="4"/>
  <c r="AC124" i="4"/>
  <c r="AD124" i="4"/>
  <c r="AE124" i="4"/>
  <c r="AF124" i="4"/>
  <c r="AG124" i="4"/>
  <c r="AH124" i="4"/>
  <c r="AI124" i="4"/>
  <c r="AJ124" i="4"/>
  <c r="BC124" i="4"/>
  <c r="BE124" i="4"/>
  <c r="L125" i="4"/>
  <c r="T125" i="4"/>
  <c r="V125" i="4"/>
  <c r="W125" i="4"/>
  <c r="Y125" i="4"/>
  <c r="AF125" i="4"/>
  <c r="AI125" i="4"/>
  <c r="AJ125" i="4"/>
  <c r="BC125" i="4"/>
  <c r="BE125" i="4"/>
  <c r="L126" i="4"/>
  <c r="AG126" i="4"/>
  <c r="AH126" i="4"/>
  <c r="BC126" i="4"/>
  <c r="BE126" i="4"/>
  <c r="L127" i="4"/>
  <c r="BC127" i="4"/>
  <c r="BE127" i="4"/>
  <c r="J128" i="4"/>
  <c r="K128" i="4"/>
  <c r="L128" i="4"/>
  <c r="M128" i="4"/>
  <c r="BC128" i="4"/>
  <c r="BE128" i="4"/>
  <c r="BC129" i="4"/>
  <c r="BE129" i="4"/>
  <c r="X169" i="4"/>
  <c r="AA169" i="4"/>
  <c r="X170" i="4"/>
  <c r="AA170" i="4"/>
  <c r="X171" i="4"/>
  <c r="AA171" i="4"/>
  <c r="X172" i="4"/>
  <c r="AA172" i="4"/>
  <c r="X173" i="4"/>
  <c r="AA173" i="4"/>
  <c r="BA117" i="3"/>
  <c r="AY117" i="3"/>
  <c r="BB117" i="3"/>
  <c r="O5" i="3"/>
  <c r="O7" i="3"/>
  <c r="O8" i="3"/>
  <c r="BD117" i="3"/>
  <c r="BA118" i="3"/>
  <c r="AY118" i="3"/>
  <c r="BB118" i="3"/>
  <c r="BD118" i="3"/>
  <c r="BA119" i="3"/>
  <c r="AY119" i="3"/>
  <c r="BB119" i="3"/>
  <c r="BD119" i="3"/>
  <c r="BA120" i="3"/>
  <c r="AY120" i="3"/>
  <c r="BB120" i="3"/>
  <c r="BD120" i="3"/>
  <c r="BA121" i="3"/>
  <c r="AY121" i="3"/>
  <c r="BB121" i="3"/>
  <c r="BD121" i="3"/>
  <c r="BA122" i="3"/>
  <c r="AY122" i="3"/>
  <c r="BB122" i="3"/>
  <c r="BD122" i="3"/>
  <c r="BA123" i="3"/>
  <c r="AY123" i="3"/>
  <c r="BB123" i="3"/>
  <c r="BD123" i="3"/>
  <c r="BA124" i="3"/>
  <c r="AY124" i="3"/>
  <c r="BB124" i="3"/>
  <c r="BD124" i="3"/>
  <c r="BA125" i="3"/>
  <c r="AY125" i="3"/>
  <c r="BB125" i="3"/>
  <c r="BD125" i="3"/>
  <c r="BA126" i="3"/>
  <c r="AY126" i="3"/>
  <c r="BB126" i="3"/>
  <c r="BD126" i="3"/>
  <c r="BA127" i="3"/>
  <c r="AY127" i="3"/>
  <c r="BB127" i="3"/>
  <c r="BD127" i="3"/>
  <c r="BA128" i="3"/>
  <c r="AY128" i="3"/>
  <c r="BB128" i="3"/>
  <c r="BD128" i="3"/>
  <c r="BA129" i="3"/>
  <c r="AY129" i="3"/>
  <c r="BB129" i="3"/>
  <c r="BD129" i="3"/>
  <c r="BD130" i="3"/>
  <c r="J116" i="3"/>
  <c r="H116" i="3"/>
  <c r="K116" i="3"/>
  <c r="M116" i="3"/>
  <c r="J117" i="3"/>
  <c r="H117" i="3"/>
  <c r="K117" i="3"/>
  <c r="M117" i="3"/>
  <c r="J118" i="3"/>
  <c r="H118" i="3"/>
  <c r="K118" i="3"/>
  <c r="M118" i="3"/>
  <c r="J119" i="3"/>
  <c r="H119" i="3"/>
  <c r="K119" i="3"/>
  <c r="M119" i="3"/>
  <c r="J120" i="3"/>
  <c r="H120" i="3"/>
  <c r="K120" i="3"/>
  <c r="M120" i="3"/>
  <c r="J121" i="3"/>
  <c r="H121" i="3"/>
  <c r="K121" i="3"/>
  <c r="M121" i="3"/>
  <c r="J122" i="3"/>
  <c r="H122" i="3"/>
  <c r="K122" i="3"/>
  <c r="M122" i="3"/>
  <c r="J123" i="3"/>
  <c r="H123" i="3"/>
  <c r="K123" i="3"/>
  <c r="M123" i="3"/>
  <c r="J124" i="3"/>
  <c r="H124" i="3"/>
  <c r="K124" i="3"/>
  <c r="M124" i="3"/>
  <c r="J125" i="3"/>
  <c r="K125" i="3"/>
  <c r="M125" i="3"/>
  <c r="J126" i="3"/>
  <c r="K126" i="3"/>
  <c r="M126" i="3"/>
  <c r="J127" i="3"/>
  <c r="K127" i="3"/>
  <c r="M127" i="3"/>
  <c r="M129" i="3"/>
  <c r="BF117" i="3"/>
  <c r="BA89" i="3"/>
  <c r="AY89" i="3"/>
  <c r="BB89" i="3"/>
  <c r="BD89" i="3"/>
  <c r="BA90" i="3"/>
  <c r="AY90" i="3"/>
  <c r="BB90" i="3"/>
  <c r="BD90" i="3"/>
  <c r="BA91" i="3"/>
  <c r="AY91" i="3"/>
  <c r="BB91" i="3"/>
  <c r="BD91" i="3"/>
  <c r="BA92" i="3"/>
  <c r="AY92" i="3"/>
  <c r="BB92" i="3"/>
  <c r="BD92" i="3"/>
  <c r="BA93" i="3"/>
  <c r="AY93" i="3"/>
  <c r="BB93" i="3"/>
  <c r="BD93" i="3"/>
  <c r="BA94" i="3"/>
  <c r="AY94" i="3"/>
  <c r="BB94" i="3"/>
  <c r="BD94" i="3"/>
  <c r="BA95" i="3"/>
  <c r="AY95" i="3"/>
  <c r="BB95" i="3"/>
  <c r="BD95" i="3"/>
  <c r="BA96" i="3"/>
  <c r="AY96" i="3"/>
  <c r="BB96" i="3"/>
  <c r="BD96" i="3"/>
  <c r="BA97" i="3"/>
  <c r="AY97" i="3"/>
  <c r="BB97" i="3"/>
  <c r="BD97" i="3"/>
  <c r="BA98" i="3"/>
  <c r="AY98" i="3"/>
  <c r="BB98" i="3"/>
  <c r="BD98" i="3"/>
  <c r="BA99" i="3"/>
  <c r="AY99" i="3"/>
  <c r="BB99" i="3"/>
  <c r="BD99" i="3"/>
  <c r="BA100" i="3"/>
  <c r="AY100" i="3"/>
  <c r="BB100" i="3"/>
  <c r="BD100" i="3"/>
  <c r="BA101" i="3"/>
  <c r="AY101" i="3"/>
  <c r="BB101" i="3"/>
  <c r="BD101" i="3"/>
  <c r="BD102" i="3"/>
  <c r="J90" i="3"/>
  <c r="H90" i="3"/>
  <c r="K90" i="3"/>
  <c r="M90" i="3"/>
  <c r="J91" i="3"/>
  <c r="H91" i="3"/>
  <c r="K91" i="3"/>
  <c r="M91" i="3"/>
  <c r="J92" i="3"/>
  <c r="H92" i="3"/>
  <c r="K92" i="3"/>
  <c r="M92" i="3"/>
  <c r="J93" i="3"/>
  <c r="H93" i="3"/>
  <c r="K93" i="3"/>
  <c r="M93" i="3"/>
  <c r="J94" i="3"/>
  <c r="H94" i="3"/>
  <c r="K94" i="3"/>
  <c r="M94" i="3"/>
  <c r="J95" i="3"/>
  <c r="H95" i="3"/>
  <c r="K95" i="3"/>
  <c r="M95" i="3"/>
  <c r="J96" i="3"/>
  <c r="H96" i="3"/>
  <c r="K96" i="3"/>
  <c r="M96" i="3"/>
  <c r="J97" i="3"/>
  <c r="H97" i="3"/>
  <c r="K97" i="3"/>
  <c r="M97" i="3"/>
  <c r="J98" i="3"/>
  <c r="H98" i="3"/>
  <c r="K98" i="3"/>
  <c r="M98" i="3"/>
  <c r="J99" i="3"/>
  <c r="K99" i="3"/>
  <c r="M99" i="3"/>
  <c r="J100" i="3"/>
  <c r="K100" i="3"/>
  <c r="M100" i="3"/>
  <c r="J101" i="3"/>
  <c r="K101" i="3"/>
  <c r="M101" i="3"/>
  <c r="M103" i="3"/>
  <c r="BF89" i="3"/>
  <c r="BA65" i="3"/>
  <c r="AY65" i="3"/>
  <c r="BB65" i="3"/>
  <c r="BD65" i="3"/>
  <c r="BA66" i="3"/>
  <c r="AY66" i="3"/>
  <c r="BB66" i="3"/>
  <c r="BD66" i="3"/>
  <c r="BA67" i="3"/>
  <c r="AY67" i="3"/>
  <c r="BB67" i="3"/>
  <c r="BD67" i="3"/>
  <c r="BA68" i="3"/>
  <c r="AY68" i="3"/>
  <c r="BB68" i="3"/>
  <c r="BD68" i="3"/>
  <c r="BA69" i="3"/>
  <c r="AY69" i="3"/>
  <c r="BB69" i="3"/>
  <c r="BD69" i="3"/>
  <c r="BA70" i="3"/>
  <c r="AY70" i="3"/>
  <c r="BB70" i="3"/>
  <c r="BD70" i="3"/>
  <c r="BA71" i="3"/>
  <c r="AY71" i="3"/>
  <c r="BB71" i="3"/>
  <c r="BD71" i="3"/>
  <c r="BA72" i="3"/>
  <c r="AY72" i="3"/>
  <c r="BB72" i="3"/>
  <c r="BD72" i="3"/>
  <c r="BA73" i="3"/>
  <c r="AY73" i="3"/>
  <c r="BB73" i="3"/>
  <c r="BD73" i="3"/>
  <c r="BA74" i="3"/>
  <c r="AY74" i="3"/>
  <c r="BB74" i="3"/>
  <c r="BD74" i="3"/>
  <c r="BA75" i="3"/>
  <c r="AY75" i="3"/>
  <c r="BB75" i="3"/>
  <c r="BD75" i="3"/>
  <c r="BA76" i="3"/>
  <c r="AY76" i="3"/>
  <c r="BB76" i="3"/>
  <c r="BD76" i="3"/>
  <c r="BA77" i="3"/>
  <c r="AY77" i="3"/>
  <c r="BB77" i="3"/>
  <c r="BD77" i="3"/>
  <c r="BD78" i="3"/>
  <c r="J64" i="3"/>
  <c r="H64" i="3"/>
  <c r="K64" i="3"/>
  <c r="M64" i="3"/>
  <c r="J65" i="3"/>
  <c r="H65" i="3"/>
  <c r="K65" i="3"/>
  <c r="M65" i="3"/>
  <c r="J66" i="3"/>
  <c r="H66" i="3"/>
  <c r="K66" i="3"/>
  <c r="M66" i="3"/>
  <c r="J67" i="3"/>
  <c r="H67" i="3"/>
  <c r="K67" i="3"/>
  <c r="M67" i="3"/>
  <c r="J68" i="3"/>
  <c r="H68" i="3"/>
  <c r="K68" i="3"/>
  <c r="M68" i="3"/>
  <c r="J69" i="3"/>
  <c r="H69" i="3"/>
  <c r="K69" i="3"/>
  <c r="M69" i="3"/>
  <c r="J70" i="3"/>
  <c r="H70" i="3"/>
  <c r="K70" i="3"/>
  <c r="M70" i="3"/>
  <c r="J71" i="3"/>
  <c r="H71" i="3"/>
  <c r="K71" i="3"/>
  <c r="M71" i="3"/>
  <c r="J72" i="3"/>
  <c r="H72" i="3"/>
  <c r="K72" i="3"/>
  <c r="M72" i="3"/>
  <c r="J73" i="3"/>
  <c r="K73" i="3"/>
  <c r="M73" i="3"/>
  <c r="J74" i="3"/>
  <c r="K74" i="3"/>
  <c r="M74" i="3"/>
  <c r="J75" i="3"/>
  <c r="K75" i="3"/>
  <c r="M75" i="3"/>
  <c r="J76" i="3"/>
  <c r="K76" i="3"/>
  <c r="M76" i="3"/>
  <c r="M77" i="3"/>
  <c r="BF65" i="3"/>
  <c r="BA40" i="3"/>
  <c r="AY40" i="3"/>
  <c r="BB40" i="3"/>
  <c r="BD40" i="3"/>
  <c r="BA41" i="3"/>
  <c r="AY41" i="3"/>
  <c r="BB41" i="3"/>
  <c r="BD41" i="3"/>
  <c r="BA42" i="3"/>
  <c r="AY42" i="3"/>
  <c r="BB42" i="3"/>
  <c r="BD42" i="3"/>
  <c r="BA43" i="3"/>
  <c r="AY43" i="3"/>
  <c r="BB43" i="3"/>
  <c r="BD43" i="3"/>
  <c r="BA44" i="3"/>
  <c r="AY44" i="3"/>
  <c r="BB44" i="3"/>
  <c r="BD44" i="3"/>
  <c r="BA45" i="3"/>
  <c r="AY45" i="3"/>
  <c r="BB45" i="3"/>
  <c r="BD45" i="3"/>
  <c r="BA46" i="3"/>
  <c r="AY46" i="3"/>
  <c r="BB46" i="3"/>
  <c r="BD46" i="3"/>
  <c r="BA47" i="3"/>
  <c r="AY47" i="3"/>
  <c r="BB47" i="3"/>
  <c r="BD47" i="3"/>
  <c r="BA48" i="3"/>
  <c r="AY48" i="3"/>
  <c r="BB48" i="3"/>
  <c r="BD48" i="3"/>
  <c r="BA49" i="3"/>
  <c r="AY49" i="3"/>
  <c r="BB49" i="3"/>
  <c r="BD49" i="3"/>
  <c r="BA50" i="3"/>
  <c r="AY50" i="3"/>
  <c r="BB50" i="3"/>
  <c r="BD50" i="3"/>
  <c r="BA51" i="3"/>
  <c r="AY51" i="3"/>
  <c r="BB51" i="3"/>
  <c r="BD51" i="3"/>
  <c r="BA52" i="3"/>
  <c r="AY52" i="3"/>
  <c r="BB52" i="3"/>
  <c r="BD52" i="3"/>
  <c r="BD53" i="3"/>
  <c r="J39" i="3"/>
  <c r="H39" i="3"/>
  <c r="K39" i="3"/>
  <c r="M39" i="3"/>
  <c r="J40" i="3"/>
  <c r="H40" i="3"/>
  <c r="K40" i="3"/>
  <c r="M40" i="3"/>
  <c r="J41" i="3"/>
  <c r="H41" i="3"/>
  <c r="K41" i="3"/>
  <c r="M41" i="3"/>
  <c r="J42" i="3"/>
  <c r="H42" i="3"/>
  <c r="K42" i="3"/>
  <c r="M42" i="3"/>
  <c r="J43" i="3"/>
  <c r="H43" i="3"/>
  <c r="K43" i="3"/>
  <c r="M43" i="3"/>
  <c r="J44" i="3"/>
  <c r="H44" i="3"/>
  <c r="K44" i="3"/>
  <c r="M44" i="3"/>
  <c r="J45" i="3"/>
  <c r="H45" i="3"/>
  <c r="K45" i="3"/>
  <c r="M45" i="3"/>
  <c r="J46" i="3"/>
  <c r="H46" i="3"/>
  <c r="K46" i="3"/>
  <c r="M46" i="3"/>
  <c r="J47" i="3"/>
  <c r="H47" i="3"/>
  <c r="K47" i="3"/>
  <c r="M47" i="3"/>
  <c r="J48" i="3"/>
  <c r="K48" i="3"/>
  <c r="M48" i="3"/>
  <c r="J49" i="3"/>
  <c r="K49" i="3"/>
  <c r="M49" i="3"/>
  <c r="J50" i="3"/>
  <c r="K50" i="3"/>
  <c r="M50" i="3"/>
  <c r="J51" i="3"/>
  <c r="K51" i="3"/>
  <c r="M51" i="3"/>
  <c r="M52" i="3"/>
  <c r="BF40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A26" i="3"/>
  <c r="AY26" i="3"/>
  <c r="BB26" i="3"/>
  <c r="BD26" i="3"/>
  <c r="J26" i="3"/>
  <c r="K26" i="3"/>
  <c r="M26" i="3"/>
  <c r="BE26" i="3"/>
  <c r="BF14" i="3"/>
  <c r="AE118" i="3"/>
  <c r="AC118" i="3"/>
  <c r="AD118" i="3"/>
  <c r="AG118" i="3"/>
  <c r="AH118" i="3"/>
  <c r="AE117" i="3"/>
  <c r="AC117" i="3"/>
  <c r="AD117" i="3"/>
  <c r="AG117" i="3"/>
  <c r="AH117" i="3"/>
  <c r="AI118" i="3"/>
  <c r="AE119" i="3"/>
  <c r="AC119" i="3"/>
  <c r="AD119" i="3"/>
  <c r="AG119" i="3"/>
  <c r="AH119" i="3"/>
  <c r="AI119" i="3"/>
  <c r="AE120" i="3"/>
  <c r="AC120" i="3"/>
  <c r="AD120" i="3"/>
  <c r="AG120" i="3"/>
  <c r="AH120" i="3"/>
  <c r="AI120" i="3"/>
  <c r="AE121" i="3"/>
  <c r="AC121" i="3"/>
  <c r="AD121" i="3"/>
  <c r="AG121" i="3"/>
  <c r="AH121" i="3"/>
  <c r="AI121" i="3"/>
  <c r="AE122" i="3"/>
  <c r="AC122" i="3"/>
  <c r="AD122" i="3"/>
  <c r="AG122" i="3"/>
  <c r="AH122" i="3"/>
  <c r="AI122" i="3"/>
  <c r="AE123" i="3"/>
  <c r="AC123" i="3"/>
  <c r="AD123" i="3"/>
  <c r="AG123" i="3"/>
  <c r="AH123" i="3"/>
  <c r="AI123" i="3"/>
  <c r="AE124" i="3"/>
  <c r="AC124" i="3"/>
  <c r="AD124" i="3"/>
  <c r="AG124" i="3"/>
  <c r="AH124" i="3"/>
  <c r="AI124" i="3"/>
  <c r="AE125" i="3"/>
  <c r="AC125" i="3"/>
  <c r="AD125" i="3"/>
  <c r="AG125" i="3"/>
  <c r="AH125" i="3"/>
  <c r="AI125" i="3"/>
  <c r="AI117" i="3"/>
  <c r="AE92" i="3"/>
  <c r="AC92" i="3"/>
  <c r="AD92" i="3"/>
  <c r="AG92" i="3"/>
  <c r="AH92" i="3"/>
  <c r="AE91" i="3"/>
  <c r="AC91" i="3"/>
  <c r="AD91" i="3"/>
  <c r="AG91" i="3"/>
  <c r="AH91" i="3"/>
  <c r="AI92" i="3"/>
  <c r="AE93" i="3"/>
  <c r="AC93" i="3"/>
  <c r="AD93" i="3"/>
  <c r="AG93" i="3"/>
  <c r="AH93" i="3"/>
  <c r="AI93" i="3"/>
  <c r="AE94" i="3"/>
  <c r="AC94" i="3"/>
  <c r="AD94" i="3"/>
  <c r="AG94" i="3"/>
  <c r="AH94" i="3"/>
  <c r="AI94" i="3"/>
  <c r="AE95" i="3"/>
  <c r="AC95" i="3"/>
  <c r="AD95" i="3"/>
  <c r="AG95" i="3"/>
  <c r="AH95" i="3"/>
  <c r="AI95" i="3"/>
  <c r="AE96" i="3"/>
  <c r="AC96" i="3"/>
  <c r="AD96" i="3"/>
  <c r="AG96" i="3"/>
  <c r="AH96" i="3"/>
  <c r="AI96" i="3"/>
  <c r="AE97" i="3"/>
  <c r="AC97" i="3"/>
  <c r="AD97" i="3"/>
  <c r="AG97" i="3"/>
  <c r="AH97" i="3"/>
  <c r="AI97" i="3"/>
  <c r="AE98" i="3"/>
  <c r="AC98" i="3"/>
  <c r="AD98" i="3"/>
  <c r="AG98" i="3"/>
  <c r="AH98" i="3"/>
  <c r="AI98" i="3"/>
  <c r="AE99" i="3"/>
  <c r="AC99" i="3"/>
  <c r="AD99" i="3"/>
  <c r="AG99" i="3"/>
  <c r="AH99" i="3"/>
  <c r="AI99" i="3"/>
  <c r="AI91" i="3"/>
  <c r="AE66" i="3"/>
  <c r="AC66" i="3"/>
  <c r="AD66" i="3"/>
  <c r="AG66" i="3"/>
  <c r="AH66" i="3"/>
  <c r="AE65" i="3"/>
  <c r="AC65" i="3"/>
  <c r="AD65" i="3"/>
  <c r="AG65" i="3"/>
  <c r="AH65" i="3"/>
  <c r="AI66" i="3"/>
  <c r="AE67" i="3"/>
  <c r="AC67" i="3"/>
  <c r="AD67" i="3"/>
  <c r="AG67" i="3"/>
  <c r="AH67" i="3"/>
  <c r="AI67" i="3"/>
  <c r="AE68" i="3"/>
  <c r="AC68" i="3"/>
  <c r="AD68" i="3"/>
  <c r="AG68" i="3"/>
  <c r="AH68" i="3"/>
  <c r="AI68" i="3"/>
  <c r="AE69" i="3"/>
  <c r="AC69" i="3"/>
  <c r="AD69" i="3"/>
  <c r="AG69" i="3"/>
  <c r="AH69" i="3"/>
  <c r="AI69" i="3"/>
  <c r="AE70" i="3"/>
  <c r="AC70" i="3"/>
  <c r="AD70" i="3"/>
  <c r="AG70" i="3"/>
  <c r="AH70" i="3"/>
  <c r="AI70" i="3"/>
  <c r="AE71" i="3"/>
  <c r="AC71" i="3"/>
  <c r="AD71" i="3"/>
  <c r="AG71" i="3"/>
  <c r="AH71" i="3"/>
  <c r="AI71" i="3"/>
  <c r="AE72" i="3"/>
  <c r="AC72" i="3"/>
  <c r="AD72" i="3"/>
  <c r="AG72" i="3"/>
  <c r="AH72" i="3"/>
  <c r="AI72" i="3"/>
  <c r="AE73" i="3"/>
  <c r="AC73" i="3"/>
  <c r="AD73" i="3"/>
  <c r="AG73" i="3"/>
  <c r="AH73" i="3"/>
  <c r="AI73" i="3"/>
  <c r="AI65" i="3"/>
  <c r="AE41" i="3"/>
  <c r="AC41" i="3"/>
  <c r="AD41" i="3"/>
  <c r="AG41" i="3"/>
  <c r="AH41" i="3"/>
  <c r="AE40" i="3"/>
  <c r="AC40" i="3"/>
  <c r="AD40" i="3"/>
  <c r="AG40" i="3"/>
  <c r="AH40" i="3"/>
  <c r="AI41" i="3"/>
  <c r="AE42" i="3"/>
  <c r="AC42" i="3"/>
  <c r="AD42" i="3"/>
  <c r="AG42" i="3"/>
  <c r="AH42" i="3"/>
  <c r="AI42" i="3"/>
  <c r="AE43" i="3"/>
  <c r="AC43" i="3"/>
  <c r="AD43" i="3"/>
  <c r="AG43" i="3"/>
  <c r="AH43" i="3"/>
  <c r="AI43" i="3"/>
  <c r="AE44" i="3"/>
  <c r="AC44" i="3"/>
  <c r="AD44" i="3"/>
  <c r="AG44" i="3"/>
  <c r="AH44" i="3"/>
  <c r="AI44" i="3"/>
  <c r="AE45" i="3"/>
  <c r="AC45" i="3"/>
  <c r="AD45" i="3"/>
  <c r="AG45" i="3"/>
  <c r="AH45" i="3"/>
  <c r="AI45" i="3"/>
  <c r="AE46" i="3"/>
  <c r="AC46" i="3"/>
  <c r="AD46" i="3"/>
  <c r="AG46" i="3"/>
  <c r="AH46" i="3"/>
  <c r="AI46" i="3"/>
  <c r="AE47" i="3"/>
  <c r="AC47" i="3"/>
  <c r="AD47" i="3"/>
  <c r="AG47" i="3"/>
  <c r="AH47" i="3"/>
  <c r="AI47" i="3"/>
  <c r="AE48" i="3"/>
  <c r="AC48" i="3"/>
  <c r="AD48" i="3"/>
  <c r="AG48" i="3"/>
  <c r="AH48" i="3"/>
  <c r="AI48" i="3"/>
  <c r="AI40" i="3"/>
  <c r="AE15" i="3"/>
  <c r="AC15" i="3"/>
  <c r="AD15" i="3"/>
  <c r="AG15" i="3"/>
  <c r="AH15" i="3"/>
  <c r="AE14" i="3"/>
  <c r="AC14" i="3"/>
  <c r="AD14" i="3"/>
  <c r="AG14" i="3"/>
  <c r="AH14" i="3"/>
  <c r="AI15" i="3"/>
  <c r="AE16" i="3"/>
  <c r="AC16" i="3"/>
  <c r="AD16" i="3"/>
  <c r="AG16" i="3"/>
  <c r="AH16" i="3"/>
  <c r="AI16" i="3"/>
  <c r="AE17" i="3"/>
  <c r="AC17" i="3"/>
  <c r="AD17" i="3"/>
  <c r="AG17" i="3"/>
  <c r="AH17" i="3"/>
  <c r="AI17" i="3"/>
  <c r="AE18" i="3"/>
  <c r="AC18" i="3"/>
  <c r="AD18" i="3"/>
  <c r="AG18" i="3"/>
  <c r="AH18" i="3"/>
  <c r="AI18" i="3"/>
  <c r="AE19" i="3"/>
  <c r="AC19" i="3"/>
  <c r="AD19" i="3"/>
  <c r="AG19" i="3"/>
  <c r="AH19" i="3"/>
  <c r="AI19" i="3"/>
  <c r="AE20" i="3"/>
  <c r="AC20" i="3"/>
  <c r="AD20" i="3"/>
  <c r="AG20" i="3"/>
  <c r="AH20" i="3"/>
  <c r="AI20" i="3"/>
  <c r="AE21" i="3"/>
  <c r="AC21" i="3"/>
  <c r="AD21" i="3"/>
  <c r="AG21" i="3"/>
  <c r="AH21" i="3"/>
  <c r="AI21" i="3"/>
  <c r="AE22" i="3"/>
  <c r="AC22" i="3"/>
  <c r="AD22" i="3"/>
  <c r="AG22" i="3"/>
  <c r="AH22" i="3"/>
  <c r="AI22" i="3"/>
  <c r="AI14" i="3"/>
  <c r="J128" i="3"/>
  <c r="K128" i="3"/>
  <c r="M128" i="3"/>
  <c r="BE129" i="3"/>
  <c r="AA166" i="3"/>
  <c r="BE101" i="3"/>
  <c r="J102" i="3"/>
  <c r="K102" i="3"/>
  <c r="M102" i="3"/>
  <c r="AA165" i="3"/>
  <c r="BE77" i="3"/>
  <c r="AA164" i="3"/>
  <c r="AA163" i="3"/>
  <c r="AA162" i="3"/>
  <c r="BE65" i="3"/>
  <c r="AJ125" i="3"/>
  <c r="X166" i="3"/>
  <c r="AJ73" i="3"/>
  <c r="AK65" i="3"/>
  <c r="X164" i="3"/>
  <c r="AJ99" i="3"/>
  <c r="AK91" i="3"/>
  <c r="X165" i="3"/>
  <c r="AK40" i="3"/>
  <c r="X163" i="3"/>
  <c r="AK14" i="3"/>
  <c r="X162" i="3"/>
  <c r="AK117" i="3"/>
  <c r="BE118" i="3"/>
  <c r="BE119" i="3"/>
  <c r="BE120" i="3"/>
  <c r="BE121" i="3"/>
  <c r="BE122" i="3"/>
  <c r="BE123" i="3"/>
  <c r="BE124" i="3"/>
  <c r="BE125" i="3"/>
  <c r="BE126" i="3"/>
  <c r="BE127" i="3"/>
  <c r="BE128" i="3"/>
  <c r="BE117" i="3"/>
  <c r="BE90" i="3"/>
  <c r="BE91" i="3"/>
  <c r="BE92" i="3"/>
  <c r="BE93" i="3"/>
  <c r="BE94" i="3"/>
  <c r="BE95" i="3"/>
  <c r="BE96" i="3"/>
  <c r="BE97" i="3"/>
  <c r="BE98" i="3"/>
  <c r="BE99" i="3"/>
  <c r="BE100" i="3"/>
  <c r="BE89" i="3"/>
  <c r="BE66" i="3"/>
  <c r="BE67" i="3"/>
  <c r="BE68" i="3"/>
  <c r="BE69" i="3"/>
  <c r="BE70" i="3"/>
  <c r="BE71" i="3"/>
  <c r="BE72" i="3"/>
  <c r="BE73" i="3"/>
  <c r="BE74" i="3"/>
  <c r="BE75" i="3"/>
  <c r="BE76" i="3"/>
  <c r="BA15" i="3"/>
  <c r="AY15" i="3"/>
  <c r="BB15" i="3"/>
  <c r="BD15" i="3"/>
  <c r="J15" i="3"/>
  <c r="H15" i="3"/>
  <c r="K15" i="3"/>
  <c r="M15" i="3"/>
  <c r="BE15" i="3"/>
  <c r="BA16" i="3"/>
  <c r="AY16" i="3"/>
  <c r="BB16" i="3"/>
  <c r="BD16" i="3"/>
  <c r="J16" i="3"/>
  <c r="H16" i="3"/>
  <c r="K16" i="3"/>
  <c r="M16" i="3"/>
  <c r="BE16" i="3"/>
  <c r="BA17" i="3"/>
  <c r="AY17" i="3"/>
  <c r="BB17" i="3"/>
  <c r="BD17" i="3"/>
  <c r="J17" i="3"/>
  <c r="H17" i="3"/>
  <c r="K17" i="3"/>
  <c r="M17" i="3"/>
  <c r="BE17" i="3"/>
  <c r="BA18" i="3"/>
  <c r="AY18" i="3"/>
  <c r="BB18" i="3"/>
  <c r="BD18" i="3"/>
  <c r="J18" i="3"/>
  <c r="H18" i="3"/>
  <c r="K18" i="3"/>
  <c r="M18" i="3"/>
  <c r="BE18" i="3"/>
  <c r="BA19" i="3"/>
  <c r="AY19" i="3"/>
  <c r="BB19" i="3"/>
  <c r="BD19" i="3"/>
  <c r="J19" i="3"/>
  <c r="H19" i="3"/>
  <c r="K19" i="3"/>
  <c r="M19" i="3"/>
  <c r="BE19" i="3"/>
  <c r="BA20" i="3"/>
  <c r="AY20" i="3"/>
  <c r="BB20" i="3"/>
  <c r="BD20" i="3"/>
  <c r="J20" i="3"/>
  <c r="H20" i="3"/>
  <c r="K20" i="3"/>
  <c r="M20" i="3"/>
  <c r="BE20" i="3"/>
  <c r="BA21" i="3"/>
  <c r="AY21" i="3"/>
  <c r="BB21" i="3"/>
  <c r="BD21" i="3"/>
  <c r="J21" i="3"/>
  <c r="H21" i="3"/>
  <c r="K21" i="3"/>
  <c r="M21" i="3"/>
  <c r="BE21" i="3"/>
  <c r="BA22" i="3"/>
  <c r="AY22" i="3"/>
  <c r="BB22" i="3"/>
  <c r="BD22" i="3"/>
  <c r="J22" i="3"/>
  <c r="H22" i="3"/>
  <c r="K22" i="3"/>
  <c r="M22" i="3"/>
  <c r="BE22" i="3"/>
  <c r="BA23" i="3"/>
  <c r="AY23" i="3"/>
  <c r="BB23" i="3"/>
  <c r="BD23" i="3"/>
  <c r="J23" i="3"/>
  <c r="K23" i="3"/>
  <c r="M23" i="3"/>
  <c r="BE23" i="3"/>
  <c r="BA24" i="3"/>
  <c r="AY24" i="3"/>
  <c r="BB24" i="3"/>
  <c r="BD24" i="3"/>
  <c r="J24" i="3"/>
  <c r="K24" i="3"/>
  <c r="M24" i="3"/>
  <c r="BE24" i="3"/>
  <c r="BA25" i="3"/>
  <c r="AY25" i="3"/>
  <c r="BB25" i="3"/>
  <c r="BD25" i="3"/>
  <c r="J25" i="3"/>
  <c r="K25" i="3"/>
  <c r="M25" i="3"/>
  <c r="BE25" i="3"/>
  <c r="BA14" i="3"/>
  <c r="AY14" i="3"/>
  <c r="BB14" i="3"/>
  <c r="BD14" i="3"/>
  <c r="J14" i="3"/>
  <c r="H14" i="3"/>
  <c r="K14" i="3"/>
  <c r="M14" i="3"/>
  <c r="BE14" i="3"/>
  <c r="AJ66" i="3"/>
  <c r="AH126" i="3"/>
  <c r="AJ91" i="3"/>
  <c r="AJ92" i="3"/>
  <c r="AJ93" i="3"/>
  <c r="AJ94" i="3"/>
  <c r="AJ95" i="3"/>
  <c r="AJ96" i="3"/>
  <c r="AJ97" i="3"/>
  <c r="AJ98" i="3"/>
  <c r="AJ65" i="3"/>
  <c r="AJ67" i="3"/>
  <c r="AJ68" i="3"/>
  <c r="AJ69" i="3"/>
  <c r="AJ70" i="3"/>
  <c r="AJ71" i="3"/>
  <c r="AJ72" i="3"/>
  <c r="BC129" i="3"/>
  <c r="BC128" i="3"/>
  <c r="L128" i="3"/>
  <c r="BC127" i="3"/>
  <c r="L127" i="3"/>
  <c r="BC126" i="3"/>
  <c r="AG126" i="3"/>
  <c r="L126" i="3"/>
  <c r="BC125" i="3"/>
  <c r="AF125" i="3"/>
  <c r="L125" i="3"/>
  <c r="BC124" i="3"/>
  <c r="AJ124" i="3"/>
  <c r="AF124" i="3"/>
  <c r="L124" i="3"/>
  <c r="BC123" i="3"/>
  <c r="AJ123" i="3"/>
  <c r="AF123" i="3"/>
  <c r="L123" i="3"/>
  <c r="BC122" i="3"/>
  <c r="AJ122" i="3"/>
  <c r="AF122" i="3"/>
  <c r="L122" i="3"/>
  <c r="BC121" i="3"/>
  <c r="AJ121" i="3"/>
  <c r="AF121" i="3"/>
  <c r="L121" i="3"/>
  <c r="BC120" i="3"/>
  <c r="AJ120" i="3"/>
  <c r="AF120" i="3"/>
  <c r="L120" i="3"/>
  <c r="BC119" i="3"/>
  <c r="AJ119" i="3"/>
  <c r="AF119" i="3"/>
  <c r="L119" i="3"/>
  <c r="BC118" i="3"/>
  <c r="AJ118" i="3"/>
  <c r="AF118" i="3"/>
  <c r="L118" i="3"/>
  <c r="BC117" i="3"/>
  <c r="AJ117" i="3"/>
  <c r="AF117" i="3"/>
  <c r="L117" i="3"/>
  <c r="L116" i="3"/>
  <c r="L102" i="3"/>
  <c r="BC101" i="3"/>
  <c r="L101" i="3"/>
  <c r="BC100" i="3"/>
  <c r="AH100" i="3"/>
  <c r="AG100" i="3"/>
  <c r="L100" i="3"/>
  <c r="BC99" i="3"/>
  <c r="AF99" i="3"/>
  <c r="L99" i="3"/>
  <c r="BC98" i="3"/>
  <c r="AF98" i="3"/>
  <c r="L98" i="3"/>
  <c r="BC97" i="3"/>
  <c r="AF97" i="3"/>
  <c r="L97" i="3"/>
  <c r="BC96" i="3"/>
  <c r="AF96" i="3"/>
  <c r="L96" i="3"/>
  <c r="BC95" i="3"/>
  <c r="AF95" i="3"/>
  <c r="L95" i="3"/>
  <c r="BC94" i="3"/>
  <c r="AF94" i="3"/>
  <c r="L94" i="3"/>
  <c r="BC93" i="3"/>
  <c r="AF93" i="3"/>
  <c r="L93" i="3"/>
  <c r="BC92" i="3"/>
  <c r="AF92" i="3"/>
  <c r="L92" i="3"/>
  <c r="BC91" i="3"/>
  <c r="AF91" i="3"/>
  <c r="L91" i="3"/>
  <c r="BC90" i="3"/>
  <c r="L90" i="3"/>
  <c r="BC89" i="3"/>
  <c r="BC77" i="3"/>
  <c r="BC76" i="3"/>
  <c r="L76" i="3"/>
  <c r="BC75" i="3"/>
  <c r="L75" i="3"/>
  <c r="BC74" i="3"/>
  <c r="AH74" i="3"/>
  <c r="AG74" i="3"/>
  <c r="L74" i="3"/>
  <c r="BC73" i="3"/>
  <c r="AF73" i="3"/>
  <c r="L73" i="3"/>
  <c r="BC72" i="3"/>
  <c r="AF72" i="3"/>
  <c r="L72" i="3"/>
  <c r="BC71" i="3"/>
  <c r="AF71" i="3"/>
  <c r="L71" i="3"/>
  <c r="BC70" i="3"/>
  <c r="AF70" i="3"/>
  <c r="L70" i="3"/>
  <c r="BC69" i="3"/>
  <c r="AF69" i="3"/>
  <c r="L69" i="3"/>
  <c r="BC68" i="3"/>
  <c r="AF68" i="3"/>
  <c r="L68" i="3"/>
  <c r="BC67" i="3"/>
  <c r="AF67" i="3"/>
  <c r="L67" i="3"/>
  <c r="BC66" i="3"/>
  <c r="AF66" i="3"/>
  <c r="L66" i="3"/>
  <c r="BC65" i="3"/>
  <c r="AF65" i="3"/>
  <c r="L65" i="3"/>
  <c r="L64" i="3"/>
  <c r="BC52" i="3"/>
  <c r="BC51" i="3"/>
  <c r="L51" i="3"/>
  <c r="BC50" i="3"/>
  <c r="L50" i="3"/>
  <c r="BC49" i="3"/>
  <c r="AH49" i="3"/>
  <c r="AG49" i="3"/>
  <c r="L49" i="3"/>
  <c r="BC48" i="3"/>
  <c r="AF48" i="3"/>
  <c r="L48" i="3"/>
  <c r="BC47" i="3"/>
  <c r="AF47" i="3"/>
  <c r="L47" i="3"/>
  <c r="BC46" i="3"/>
  <c r="AF46" i="3"/>
  <c r="L46" i="3"/>
  <c r="BC45" i="3"/>
  <c r="AF45" i="3"/>
  <c r="L45" i="3"/>
  <c r="BC44" i="3"/>
  <c r="AF44" i="3"/>
  <c r="L44" i="3"/>
  <c r="BC43" i="3"/>
  <c r="AF43" i="3"/>
  <c r="L43" i="3"/>
  <c r="BC42" i="3"/>
  <c r="AF42" i="3"/>
  <c r="L42" i="3"/>
  <c r="BC41" i="3"/>
  <c r="AF41" i="3"/>
  <c r="L41" i="3"/>
  <c r="BC40" i="3"/>
  <c r="AF40" i="3"/>
  <c r="L40" i="3"/>
  <c r="L39" i="3"/>
  <c r="BD27" i="3"/>
  <c r="BC26" i="3"/>
  <c r="L26" i="3"/>
  <c r="BC25" i="3"/>
  <c r="L25" i="3"/>
  <c r="BC24" i="3"/>
  <c r="L24" i="3"/>
  <c r="BC23" i="3"/>
  <c r="AH23" i="3"/>
  <c r="AG23" i="3"/>
  <c r="L23" i="3"/>
  <c r="BC22" i="3"/>
  <c r="AF22" i="3"/>
  <c r="L22" i="3"/>
  <c r="BC21" i="3"/>
  <c r="AF21" i="3"/>
  <c r="L21" i="3"/>
  <c r="BC20" i="3"/>
  <c r="AF20" i="3"/>
  <c r="L20" i="3"/>
  <c r="BC19" i="3"/>
  <c r="AF19" i="3"/>
  <c r="L19" i="3"/>
  <c r="BC18" i="3"/>
  <c r="AF18" i="3"/>
  <c r="L18" i="3"/>
  <c r="BC17" i="3"/>
  <c r="AF17" i="3"/>
  <c r="L17" i="3"/>
  <c r="BC16" i="3"/>
  <c r="AF16" i="3"/>
  <c r="L16" i="3"/>
  <c r="BC15" i="3"/>
  <c r="AF15" i="3"/>
  <c r="L15" i="3"/>
  <c r="BL14" i="3"/>
  <c r="BC14" i="3"/>
  <c r="AF14" i="3"/>
  <c r="L14" i="3"/>
  <c r="BL13" i="3"/>
  <c r="BL12" i="3"/>
  <c r="BL11" i="3"/>
  <c r="BL10" i="3"/>
</calcChain>
</file>

<file path=xl/sharedStrings.xml><?xml version="1.0" encoding="utf-8"?>
<sst xmlns="http://schemas.openxmlformats.org/spreadsheetml/2006/main" count="622" uniqueCount="47">
  <si>
    <t>Time (min)</t>
  </si>
  <si>
    <t>Time interval (Δt) (s)</t>
  </si>
  <si>
    <t>Permeate V (mL)</t>
  </si>
  <si>
    <t>PermeateV (L)</t>
  </si>
  <si>
    <t>FEED</t>
  </si>
  <si>
    <t>BRINE</t>
  </si>
  <si>
    <t>PERMEATE</t>
  </si>
  <si>
    <t>EC (μS)</t>
  </si>
  <si>
    <t>TDS(g/L)</t>
  </si>
  <si>
    <t>Temp (°C)</t>
  </si>
  <si>
    <t>Volume (mL)</t>
  </si>
  <si>
    <t>Temperature Factor From Filmtech</t>
  </si>
  <si>
    <t xml:space="preserve">Corrected Flowrate = (Measured Flowrate)*(TCF @ Feedwater Temp.) </t>
  </si>
  <si>
    <t>Temperature °C</t>
  </si>
  <si>
    <t>Correction Factor</t>
  </si>
  <si>
    <t>Time interval (Δt) (h)</t>
  </si>
  <si>
    <t>Flow rate (L/h)</t>
  </si>
  <si>
    <t>Flux  (L/m^2.h)</t>
  </si>
  <si>
    <t>Area</t>
  </si>
  <si>
    <t>Volume (L)</t>
  </si>
  <si>
    <t>Flow Rate (L/h)</t>
  </si>
  <si>
    <t>Flux (L/m^2.h)</t>
  </si>
  <si>
    <t>Normalized Flux</t>
  </si>
  <si>
    <t>FDR</t>
  </si>
  <si>
    <t>FRR</t>
  </si>
  <si>
    <t>1-</t>
  </si>
  <si>
    <t>M0</t>
  </si>
  <si>
    <t>M0,2 mol/L</t>
  </si>
  <si>
    <t>M0,4 mol/L</t>
  </si>
  <si>
    <t>M0,6 mol/L</t>
  </si>
  <si>
    <t>M0,8 mol/L</t>
  </si>
  <si>
    <t>FDR corrected</t>
  </si>
  <si>
    <t>FRR corrected</t>
  </si>
  <si>
    <t>Fractional Flux</t>
  </si>
  <si>
    <t>Salt Rejection Ratio (%)</t>
  </si>
  <si>
    <r>
      <t>EC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S)</t>
    </r>
  </si>
  <si>
    <t>EC (mS)</t>
  </si>
  <si>
    <t>Salt Rejection</t>
  </si>
  <si>
    <t>Salt Rejection B</t>
  </si>
  <si>
    <t>Initial Pure Water Flux B</t>
  </si>
  <si>
    <t>Initial Pure Water Flux</t>
  </si>
  <si>
    <t>Flux and Salt Rejection</t>
  </si>
  <si>
    <t xml:space="preserve">FDR </t>
  </si>
  <si>
    <t xml:space="preserve">FRR </t>
  </si>
  <si>
    <t>Permeability</t>
  </si>
  <si>
    <t>Permeability (L/m^2.h.Bar)</t>
  </si>
  <si>
    <t>Presure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</si>
</sst>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rgb="FFFF0000"/>
      <name val="Diodrum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4" fillId="0" borderId="0" xfId="0" applyFont="1"/>
    <xf numFmtId="164" fontId="4" fillId="0" borderId="0" xfId="0" applyNumberFormat="1" applyFont="1"/>
    <xf numFmtId="164" fontId="0" fillId="0" borderId="1" xfId="0" applyNumberFormat="1" applyBorder="1"/>
    <xf numFmtId="2" fontId="0" fillId="0" borderId="1" xfId="0" applyNumberFormat="1" applyBorder="1"/>
    <xf numFmtId="165" fontId="0" fillId="0" borderId="1" xfId="0" quotePrefix="1" applyNumberFormat="1" applyBorder="1"/>
    <xf numFmtId="165" fontId="0" fillId="0" borderId="1" xfId="0" applyNumberFormat="1" applyBorder="1"/>
    <xf numFmtId="0" fontId="5" fillId="2" borderId="2" xfId="0" applyFont="1" applyFill="1" applyBorder="1"/>
    <xf numFmtId="0" fontId="0" fillId="0" borderId="3" xfId="0" applyBorder="1"/>
    <xf numFmtId="0" fontId="1" fillId="0" borderId="4" xfId="0" applyFont="1" applyBorder="1"/>
    <xf numFmtId="0" fontId="6" fillId="0" borderId="0" xfId="0" applyFont="1"/>
    <xf numFmtId="0" fontId="6" fillId="3" borderId="0" xfId="0" applyFont="1" applyFill="1"/>
    <xf numFmtId="0" fontId="0" fillId="3" borderId="0" xfId="0" applyFill="1"/>
    <xf numFmtId="0" fontId="1" fillId="3" borderId="0" xfId="0" applyFont="1" applyFill="1"/>
    <xf numFmtId="0" fontId="5" fillId="0" borderId="0" xfId="0" applyFont="1"/>
    <xf numFmtId="10" fontId="0" fillId="0" borderId="0" xfId="0" applyNumberFormat="1"/>
    <xf numFmtId="10" fontId="1" fillId="0" borderId="0" xfId="0" applyNumberFormat="1" applyFont="1"/>
    <xf numFmtId="0" fontId="6" fillId="4" borderId="0" xfId="0" applyFont="1" applyFill="1"/>
    <xf numFmtId="0" fontId="0" fillId="4" borderId="0" xfId="0" applyFill="1"/>
    <xf numFmtId="0" fontId="6" fillId="5" borderId="0" xfId="0" applyFont="1" applyFill="1"/>
    <xf numFmtId="0" fontId="0" fillId="0" borderId="1" xfId="0" applyBorder="1"/>
    <xf numFmtId="0" fontId="1" fillId="0" borderId="1" xfId="0" applyFont="1" applyBorder="1"/>
    <xf numFmtId="10" fontId="0" fillId="0" borderId="1" xfId="0" applyNumberFormat="1" applyBorder="1"/>
    <xf numFmtId="0" fontId="1" fillId="4" borderId="0" xfId="0" applyFont="1" applyFill="1"/>
    <xf numFmtId="0" fontId="8" fillId="0" borderId="0" xfId="0" applyFont="1"/>
    <xf numFmtId="2" fontId="0" fillId="0" borderId="0" xfId="0" applyNumberFormat="1"/>
    <xf numFmtId="0" fontId="5" fillId="2" borderId="1" xfId="0" applyFont="1" applyFill="1" applyBorder="1"/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'Preliminary Test (Nacl+Water)'!$AO$7</c:f>
              <c:strCache>
                <c:ptCount val="1"/>
                <c:pt idx="0">
                  <c:v>Initial Pure Water Flux</c:v>
                </c:pt>
              </c:strCache>
            </c:strRef>
          </c:tx>
          <c:spPr>
            <a:pattFill prst="dkUpDiag">
              <a:fgClr>
                <a:schemeClr val="tx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'Preliminary Test (Nacl+Water)'!$AN$8:$AN$12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'Preliminary Test (Nacl+Water)'!$AO$8:$AO$12</c:f>
              <c:numCache>
                <c:formatCode>General</c:formatCode>
                <c:ptCount val="5"/>
                <c:pt idx="0">
                  <c:v>108.89292196007258</c:v>
                </c:pt>
                <c:pt idx="1">
                  <c:v>142.86751361161521</c:v>
                </c:pt>
                <c:pt idx="2">
                  <c:v>142.6739261947973</c:v>
                </c:pt>
                <c:pt idx="3">
                  <c:v>137.64065335753173</c:v>
                </c:pt>
                <c:pt idx="4">
                  <c:v>135.31760435571687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3-4685-AFED-D9E96A7BCA6A}"/>
            </c:ext>
          </c:extLst>
        </c:ser>
        <c:ser>
          <c:idx val="1"/>
          <c:order val="1"/>
          <c:tx>
            <c:strRef>
              <c:f>'Preliminary Test (Nacl+Water)'!$AP$7</c:f>
              <c:strCache>
                <c:ptCount val="1"/>
                <c:pt idx="0">
                  <c:v>Initial Pure Water Flux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'Preliminary Test (Nacl+Water)'!$AN$8:$AN$12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'Preliminary Test (Nacl+Water)'!$AP$8:$AP$12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D473-4685-AFED-D9E96A7BC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95754160"/>
        <c:axId val="495751536"/>
      </c:barChart>
      <c:barChart>
        <c:barDir val="col"/>
        <c:grouping val="clustered"/>
        <c:varyColors val="0"/>
        <c:ser>
          <c:idx val="2"/>
          <c:order val="2"/>
          <c:tx>
            <c:strRef>
              <c:f>'Preliminary Test (Nacl+Water)'!$AQ$7</c:f>
              <c:strCache>
                <c:ptCount val="1"/>
                <c:pt idx="0">
                  <c:v>Salt Rejection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'Preliminary Test (Nacl+Water)'!$AN$8:$AN$12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'Preliminary Test (Nacl+Water)'!$AQ$8:$AQ$12</c:f>
              <c:numCache>
                <c:formatCode>0.00%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D473-4685-AFED-D9E96A7BCA6A}"/>
            </c:ext>
          </c:extLst>
        </c:ser>
        <c:ser>
          <c:idx val="3"/>
          <c:order val="3"/>
          <c:tx>
            <c:strRef>
              <c:f>'Preliminary Test (Nacl+Water)'!$AR$7</c:f>
              <c:strCache>
                <c:ptCount val="1"/>
                <c:pt idx="0">
                  <c:v>Salt Rejection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'Preliminary Test (Nacl+Water)'!$AN$8:$AN$12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'Preliminary Test (Nacl+Water)'!$AR$8:$AR$12</c:f>
              <c:numCache>
                <c:formatCode>0.00%</c:formatCode>
                <c:ptCount val="5"/>
                <c:pt idx="0">
                  <c:v>0.75667662758018173</c:v>
                </c:pt>
                <c:pt idx="1">
                  <c:v>0.80985332019220824</c:v>
                </c:pt>
                <c:pt idx="2">
                  <c:v>0.81621854820305284</c:v>
                </c:pt>
                <c:pt idx="3">
                  <c:v>0.80805658657853063</c:v>
                </c:pt>
                <c:pt idx="4">
                  <c:v>0.8032768220160561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73-4685-AFED-D9E96A7BC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95733824"/>
        <c:axId val="495732512"/>
      </c:barChart>
      <c:scatterChart>
        <c:scatterStyle val="lineMarker"/>
        <c:varyColors val="0"/>
        <c:ser>
          <c:idx val="4"/>
          <c:order val="4"/>
          <c:tx>
            <c:strRef>
              <c:f>'Preliminary Test (Nacl+Water)'!$AS$7</c:f>
              <c:strCache>
                <c:ptCount val="1"/>
                <c:pt idx="0">
                  <c:v>Permeability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gradFill>
                <a:gsLst>
                  <a:gs pos="34000">
                    <a:sysClr val="windowText" lastClr="000000">
                      <a:lumMod val="68000"/>
                      <a:lumOff val="32000"/>
                    </a:sysClr>
                  </a:gs>
                  <a:gs pos="74000">
                    <a:srgbClr val="E7E6E6">
                      <a:lumMod val="75000"/>
                    </a:srgbClr>
                  </a:gs>
                  <a:gs pos="83000">
                    <a:srgbClr val="5B9BD5">
                      <a:lumMod val="45000"/>
                      <a:lumOff val="55000"/>
                    </a:srgbClr>
                  </a:gs>
                  <a:gs pos="100000">
                    <a:srgbClr val="5B9BD5">
                      <a:lumMod val="30000"/>
                      <a:lumOff val="70000"/>
                    </a:srgbClr>
                  </a:gs>
                </a:gsLst>
                <a:lin ang="5400000" scaled="1"/>
              </a:gradFill>
              <a:ln w="38100">
                <a:noFill/>
              </a:ln>
              <a:effectLst/>
            </c:spPr>
          </c:marker>
          <c:yVal>
            <c:numRef>
              <c:f>'Preliminary Test (Nacl+Water)'!$AS$8:$AS$12</c:f>
              <c:numCache>
                <c:formatCode>General</c:formatCode>
                <c:ptCount val="5"/>
                <c:pt idx="0">
                  <c:v>7.2595281306715052</c:v>
                </c:pt>
                <c:pt idx="1">
                  <c:v>9.5245009074410163</c:v>
                </c:pt>
                <c:pt idx="2">
                  <c:v>9.5115950796531532</c:v>
                </c:pt>
                <c:pt idx="3">
                  <c:v>9.1760435571687839</c:v>
                </c:pt>
                <c:pt idx="4">
                  <c:v>9.5115950796531532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73-4685-AFED-D9E96A7BC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54160"/>
        <c:axId val="495751536"/>
      </c:scatterChart>
      <c:catAx>
        <c:axId val="49575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1536"/>
        <c:crosses val="autoZero"/>
        <c:auto val="1"/>
        <c:lblAlgn val="ctr"/>
        <c:lblOffset val="100"/>
        <c:noMultiLvlLbl val="0"/>
      </c:catAx>
      <c:valAx>
        <c:axId val="495751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1">
                    <a:solidFill>
                      <a:sysClr val="windowText" lastClr="000000"/>
                    </a:solidFill>
                  </a:rPr>
                  <a:t>Water</a:t>
                </a:r>
                <a:r>
                  <a:rPr lang="en-ZA" sz="1000" b="1" baseline="0">
                    <a:solidFill>
                      <a:sysClr val="windowText" lastClr="000000"/>
                    </a:solidFill>
                  </a:rPr>
                  <a:t> Flux (L/m^2.h)</a:t>
                </a:r>
              </a:p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en-ZA" sz="10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4160"/>
        <c:crosses val="autoZero"/>
        <c:crossBetween val="between"/>
      </c:valAx>
      <c:valAx>
        <c:axId val="495732512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ZA" b="1">
                  <a:solidFill>
                    <a:sysClr val="windowText" lastClr="000000"/>
                  </a:solidFill>
                </a:endParaRPr>
              </a:p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r>
                  <a:rPr lang="en-ZA" b="1">
                    <a:solidFill>
                      <a:sysClr val="windowText" lastClr="000000"/>
                    </a:solidFill>
                  </a:rPr>
                  <a:t>Salt</a:t>
                </a:r>
                <a:r>
                  <a:rPr lang="en-ZA" b="1" baseline="0">
                    <a:solidFill>
                      <a:sysClr val="windowText" lastClr="000000"/>
                    </a:solidFill>
                  </a:rPr>
                  <a:t> Rejection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33824"/>
        <c:crosses val="max"/>
        <c:crossBetween val="between"/>
      </c:valAx>
      <c:catAx>
        <c:axId val="495733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5732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080171202666052"/>
          <c:y val="2.4205743098444709E-2"/>
          <c:w val="0.16119379697514413"/>
          <c:h val="0.1531780401496086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0.4 mol/L</c:v>
          </c:tx>
          <c:spPr>
            <a:ln w="28575"/>
          </c:spPr>
          <c:xVal>
            <c:numRef>
              <c:f>'Microbial fouling S Aureus'!$S$65:$S$73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Aureus'!$AI$65:$AI$73</c:f>
              <c:numCache>
                <c:formatCode>General</c:formatCode>
                <c:ptCount val="9"/>
                <c:pt idx="0">
                  <c:v>1</c:v>
                </c:pt>
                <c:pt idx="1">
                  <c:v>0.88640441683919924</c:v>
                </c:pt>
                <c:pt idx="2">
                  <c:v>0.86367609845870696</c:v>
                </c:pt>
                <c:pt idx="3">
                  <c:v>1.078812974465148</c:v>
                </c:pt>
                <c:pt idx="4">
                  <c:v>0.89072923855532526</c:v>
                </c:pt>
                <c:pt idx="5">
                  <c:v>0.87784679089026896</c:v>
                </c:pt>
                <c:pt idx="6">
                  <c:v>0.84094778007821458</c:v>
                </c:pt>
                <c:pt idx="7">
                  <c:v>0.79254658385093157</c:v>
                </c:pt>
                <c:pt idx="8">
                  <c:v>0.6978605935127673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04-4A72-883F-55014BFCEB66}"/>
            </c:ext>
          </c:extLst>
        </c:ser>
        <c:ser>
          <c:idx val="1"/>
          <c:order val="1"/>
          <c:tx>
            <c:v>Unmodified</c:v>
          </c:tx>
          <c:spPr>
            <a:ln w="28575"/>
          </c:spPr>
          <c:xVal>
            <c:numRef>
              <c:f>'Microbial fouling S Aureus'!$S$14:$S$22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0.91715181370353782</c:v>
                </c:pt>
                <c:pt idx="2">
                  <c:v>0.76309896999552163</c:v>
                </c:pt>
                <c:pt idx="3">
                  <c:v>0.78529844539696769</c:v>
                </c:pt>
                <c:pt idx="4">
                  <c:v>0.80506685432793812</c:v>
                </c:pt>
                <c:pt idx="5">
                  <c:v>0.73853240355703387</c:v>
                </c:pt>
                <c:pt idx="6">
                  <c:v>0.79342332544302996</c:v>
                </c:pt>
                <c:pt idx="7">
                  <c:v>0.69525302283922974</c:v>
                </c:pt>
                <c:pt idx="8">
                  <c:v>0.73469387755102022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04-4A72-883F-55014BFCE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785752"/>
        <c:axId val="2081791240"/>
      </c:scatterChart>
      <c:valAx>
        <c:axId val="2081785752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791240"/>
        <c:crosses val="autoZero"/>
        <c:crossBetween val="midCat"/>
      </c:valAx>
      <c:valAx>
        <c:axId val="208179124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785752"/>
        <c:crosses val="autoZero"/>
        <c:crossBetween val="midCat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821501431639227"/>
          <c:y val="0.61615092821426509"/>
          <c:w val="0.30454657301360055"/>
          <c:h val="0.13199206850968445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0.6 mol/L</c:v>
          </c:tx>
          <c:xVal>
            <c:numRef>
              <c:f>'Microbial fouling S Aureus'!$S$91:$S$99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Aureus'!$AI$91:$AI$99</c:f>
              <c:numCache>
                <c:formatCode>General</c:formatCode>
                <c:ptCount val="9"/>
                <c:pt idx="0">
                  <c:v>1</c:v>
                </c:pt>
                <c:pt idx="1">
                  <c:v>0.91966362497763476</c:v>
                </c:pt>
                <c:pt idx="2">
                  <c:v>0.90982286634460541</c:v>
                </c:pt>
                <c:pt idx="3">
                  <c:v>0.8648416532474501</c:v>
                </c:pt>
                <c:pt idx="4">
                  <c:v>0.85625335480407938</c:v>
                </c:pt>
                <c:pt idx="5">
                  <c:v>0.85110037573805686</c:v>
                </c:pt>
                <c:pt idx="6">
                  <c:v>0.81069958847736634</c:v>
                </c:pt>
                <c:pt idx="7">
                  <c:v>0.80411522633744847</c:v>
                </c:pt>
                <c:pt idx="8">
                  <c:v>0.76206834854177863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C3-4371-9E2E-02D9F3E2754F}"/>
            </c:ext>
          </c:extLst>
        </c:ser>
        <c:ser>
          <c:idx val="1"/>
          <c:order val="1"/>
          <c:tx>
            <c:v>Unmodified</c:v>
          </c:tx>
          <c:xVal>
            <c:numRef>
              <c:f>'Microbial fouling S Aureus'!$S$14:$S$22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0.91715181370353782</c:v>
                </c:pt>
                <c:pt idx="2">
                  <c:v>0.76309896999552163</c:v>
                </c:pt>
                <c:pt idx="3">
                  <c:v>0.78529844539696769</c:v>
                </c:pt>
                <c:pt idx="4">
                  <c:v>0.80506685432793812</c:v>
                </c:pt>
                <c:pt idx="5">
                  <c:v>0.73853240355703387</c:v>
                </c:pt>
                <c:pt idx="6">
                  <c:v>0.79342332544302996</c:v>
                </c:pt>
                <c:pt idx="7">
                  <c:v>0.69525302283922974</c:v>
                </c:pt>
                <c:pt idx="8">
                  <c:v>0.73469387755102022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C3-4371-9E2E-02D9F3E27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825144"/>
        <c:axId val="2081830872"/>
      </c:scatterChart>
      <c:valAx>
        <c:axId val="2081825144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830872"/>
        <c:crosses val="autoZero"/>
        <c:crossBetween val="midCat"/>
      </c:valAx>
      <c:valAx>
        <c:axId val="208183087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825144"/>
        <c:crosses val="autoZero"/>
        <c:crossBetween val="midCat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60327923522573"/>
          <c:y val="0.63396415804500894"/>
          <c:w val="0.31005225244655815"/>
          <c:h val="0.1193154143474327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0.8 mol/L</c:v>
          </c:tx>
          <c:xVal>
            <c:numRef>
              <c:f>'Microbial fouling S Aureus'!$S$117:$S$125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Aureus'!$AI$117:$AI$125</c:f>
              <c:numCache>
                <c:formatCode>General</c:formatCode>
                <c:ptCount val="9"/>
                <c:pt idx="0">
                  <c:v>1</c:v>
                </c:pt>
                <c:pt idx="1">
                  <c:v>0.84501347708894858</c:v>
                </c:pt>
                <c:pt idx="2">
                  <c:v>0.83935309973045813</c:v>
                </c:pt>
                <c:pt idx="3">
                  <c:v>0.79895552560646876</c:v>
                </c:pt>
                <c:pt idx="4">
                  <c:v>0.82560646900269519</c:v>
                </c:pt>
                <c:pt idx="5">
                  <c:v>0.88477088948787064</c:v>
                </c:pt>
                <c:pt idx="6">
                  <c:v>0.87863881401617239</c:v>
                </c:pt>
                <c:pt idx="7">
                  <c:v>0.83726415094339623</c:v>
                </c:pt>
                <c:pt idx="8">
                  <c:v>0.82968328840970351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D5-41E1-9125-537BD3E8A74F}"/>
            </c:ext>
          </c:extLst>
        </c:ser>
        <c:ser>
          <c:idx val="1"/>
          <c:order val="1"/>
          <c:tx>
            <c:v>Unmodified</c:v>
          </c:tx>
          <c:xVal>
            <c:numRef>
              <c:f>'Microbial fouling S Aureus'!$S$14:$S$22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0.91715181370353782</c:v>
                </c:pt>
                <c:pt idx="2">
                  <c:v>0.76309896999552163</c:v>
                </c:pt>
                <c:pt idx="3">
                  <c:v>0.78529844539696769</c:v>
                </c:pt>
                <c:pt idx="4">
                  <c:v>0.80506685432793812</c:v>
                </c:pt>
                <c:pt idx="5">
                  <c:v>0.73853240355703387</c:v>
                </c:pt>
                <c:pt idx="6">
                  <c:v>0.79342332544302996</c:v>
                </c:pt>
                <c:pt idx="7">
                  <c:v>0.69525302283922974</c:v>
                </c:pt>
                <c:pt idx="8">
                  <c:v>0.73469387755102022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D5-41E1-9125-537BD3E8A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864984"/>
        <c:axId val="2081870664"/>
      </c:scatterChart>
      <c:valAx>
        <c:axId val="2081864984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870664"/>
        <c:crosses val="autoZero"/>
        <c:crossBetween val="midCat"/>
      </c:valAx>
      <c:valAx>
        <c:axId val="2081870664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1864984"/>
        <c:crosses val="autoZero"/>
        <c:crossBetween val="midCat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6312919981860896"/>
          <c:y val="5.0457369586614197E-2"/>
          <c:w val="0.30613748210450964"/>
          <c:h val="0.13151209735146743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'Microbial fouling S Aureus'!$X$168</c:f>
              <c:strCache>
                <c:ptCount val="1"/>
                <c:pt idx="0">
                  <c:v>FDR</c:v>
                </c:pt>
              </c:strCache>
            </c:strRef>
          </c:tx>
          <c:spPr>
            <a:pattFill prst="dkUpDiag">
              <a:fgClr>
                <a:schemeClr val="tx2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'Microbial fouling S Aureus'!$W$169:$W$173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'Microbial fouling S Aureus'!$X$169:$X$173</c:f>
              <c:numCache>
                <c:formatCode>0.00%</c:formatCode>
                <c:ptCount val="5"/>
                <c:pt idx="0">
                  <c:v>0.26530612244897978</c:v>
                </c:pt>
                <c:pt idx="1">
                  <c:v>3.717826501429914E-2</c:v>
                </c:pt>
                <c:pt idx="2">
                  <c:v>0.3021394064872327</c:v>
                </c:pt>
                <c:pt idx="3">
                  <c:v>0.2379316514582214</c:v>
                </c:pt>
                <c:pt idx="4">
                  <c:v>0.17031671159029649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D-43C3-ACDC-499C7C392462}"/>
            </c:ext>
          </c:extLst>
        </c:ser>
        <c:ser>
          <c:idx val="1"/>
          <c:order val="1"/>
          <c:tx>
            <c:strRef>
              <c:f>'[1]modified membranes'!$AO$7</c:f>
              <c:strCache>
                <c:ptCount val="1"/>
                <c:pt idx="0">
                  <c:v>Initial Pure Water Flux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'Microbial fouling S Aureus'!$W$169:$W$173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'[1]modified membranes'!$AO$8:$AO$12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6E9D-43C3-ACDC-499C7C392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1925528"/>
        <c:axId val="2081929448"/>
      </c:barChart>
      <c:barChart>
        <c:barDir val="col"/>
        <c:grouping val="clustered"/>
        <c:varyColors val="0"/>
        <c:ser>
          <c:idx val="2"/>
          <c:order val="2"/>
          <c:tx>
            <c:strRef>
              <c:f>'[1]modified membranes'!$AP$7</c:f>
              <c:strCache>
                <c:ptCount val="1"/>
                <c:pt idx="0">
                  <c:v>Salt Rejection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'Microbial fouling S Aureus'!$W$169:$W$173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'[1]modified membranes'!$AP$8:$AP$12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6E9D-43C3-ACDC-499C7C392462}"/>
            </c:ext>
          </c:extLst>
        </c:ser>
        <c:ser>
          <c:idx val="3"/>
          <c:order val="3"/>
          <c:tx>
            <c:strRef>
              <c:f>'Microbial fouling S Aureus'!$AA$168</c:f>
              <c:strCache>
                <c:ptCount val="1"/>
                <c:pt idx="0">
                  <c:v>FRR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'Microbial fouling S Aureus'!$W$169:$W$173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'Microbial fouling S Aureus'!$AA$169:$AA$173</c:f>
              <c:numCache>
                <c:formatCode>0.00%</c:formatCode>
                <c:ptCount val="5"/>
                <c:pt idx="0">
                  <c:v>0.55819477434679332</c:v>
                </c:pt>
                <c:pt idx="1">
                  <c:v>0.625</c:v>
                </c:pt>
                <c:pt idx="2">
                  <c:v>0.74751929437706732</c:v>
                </c:pt>
                <c:pt idx="3">
                  <c:v>0.71237458193979941</c:v>
                </c:pt>
                <c:pt idx="4">
                  <c:v>0.67498603091823428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9D-43C3-ACDC-499C7C392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81942136"/>
        <c:axId val="2081935688"/>
      </c:barChart>
      <c:catAx>
        <c:axId val="208192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929448"/>
        <c:crosses val="autoZero"/>
        <c:auto val="1"/>
        <c:lblAlgn val="ctr"/>
        <c:lblOffset val="100"/>
        <c:noMultiLvlLbl val="0"/>
      </c:catAx>
      <c:valAx>
        <c:axId val="20819294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925528"/>
        <c:crosses val="autoZero"/>
        <c:crossBetween val="between"/>
      </c:valAx>
      <c:valAx>
        <c:axId val="2081935688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FRR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942136"/>
        <c:crosses val="max"/>
        <c:crossBetween val="between"/>
      </c:valAx>
      <c:catAx>
        <c:axId val="2081942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19356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080171202666096"/>
          <c:y val="2.4205743098444699E-2"/>
          <c:w val="0.16119379697514399"/>
          <c:h val="0.102118693433072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unmodified</c:v>
          </c:tx>
          <c:spPr>
            <a:ln w="31750">
              <a:noFill/>
            </a:ln>
          </c:spPr>
          <c:xVal>
            <c:numRef>
              <c:f>'Microbial fouling E.coli'!$S$14:$S$22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0.92480818414322274</c:v>
                </c:pt>
                <c:pt idx="2">
                  <c:v>0.895907928388747</c:v>
                </c:pt>
                <c:pt idx="3">
                  <c:v>0.85848252344416032</c:v>
                </c:pt>
                <c:pt idx="4">
                  <c:v>0.88709860755896597</c:v>
                </c:pt>
                <c:pt idx="5">
                  <c:v>0.88974140380790034</c:v>
                </c:pt>
                <c:pt idx="6">
                  <c:v>0.89326513213981285</c:v>
                </c:pt>
                <c:pt idx="7">
                  <c:v>0.89447286160841177</c:v>
                </c:pt>
                <c:pt idx="8">
                  <c:v>0.88709860755896597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B2-4613-90F2-C4E63F5C4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21144"/>
        <c:axId val="2062918728"/>
      </c:scatterChart>
      <c:valAx>
        <c:axId val="20629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918728"/>
        <c:crosses val="autoZero"/>
        <c:crossBetween val="midCat"/>
      </c:valAx>
      <c:valAx>
        <c:axId val="2062918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2921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0.2 mol/L</c:v>
          </c:tx>
          <c:spPr>
            <a:ln w="28575"/>
          </c:spPr>
          <c:xVal>
            <c:numRef>
              <c:f>'Microbial fouling E.coli'!$S$40:$S$48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E.coli'!$AI$40:$AI$48</c:f>
              <c:numCache>
                <c:formatCode>General</c:formatCode>
                <c:ptCount val="9"/>
                <c:pt idx="0">
                  <c:v>1</c:v>
                </c:pt>
                <c:pt idx="1">
                  <c:v>0.98341181506849329</c:v>
                </c:pt>
                <c:pt idx="2">
                  <c:v>0.96595408818493145</c:v>
                </c:pt>
                <c:pt idx="3">
                  <c:v>0.93597495719178103</c:v>
                </c:pt>
                <c:pt idx="4">
                  <c:v>0.91604238013698625</c:v>
                </c:pt>
                <c:pt idx="5">
                  <c:v>0.90967465753424648</c:v>
                </c:pt>
                <c:pt idx="6">
                  <c:v>0.88027076198630139</c:v>
                </c:pt>
                <c:pt idx="7">
                  <c:v>0.88027076198630139</c:v>
                </c:pt>
                <c:pt idx="8">
                  <c:v>0.87762200342465757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39-42C5-AA60-2C48DEDAC6DB}"/>
            </c:ext>
          </c:extLst>
        </c:ser>
        <c:ser>
          <c:idx val="1"/>
          <c:order val="1"/>
          <c:tx>
            <c:v>Unmodified</c:v>
          </c:tx>
          <c:spPr>
            <a:ln w="28575"/>
          </c:spPr>
          <c:xVal>
            <c:numRef>
              <c:f>'Microbial fouling E.coli'!$S$14:$S$22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0.92480818414322274</c:v>
                </c:pt>
                <c:pt idx="2">
                  <c:v>0.895907928388747</c:v>
                </c:pt>
                <c:pt idx="3">
                  <c:v>0.85848252344416032</c:v>
                </c:pt>
                <c:pt idx="4">
                  <c:v>0.88709860755896597</c:v>
                </c:pt>
                <c:pt idx="5">
                  <c:v>0.88974140380790034</c:v>
                </c:pt>
                <c:pt idx="6">
                  <c:v>0.89326513213981285</c:v>
                </c:pt>
                <c:pt idx="7">
                  <c:v>0.89447286160841177</c:v>
                </c:pt>
                <c:pt idx="8">
                  <c:v>0.88709860755896597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39-42C5-AA60-2C48DEDAC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675224"/>
        <c:axId val="2075656152"/>
      </c:scatterChart>
      <c:valAx>
        <c:axId val="2075675224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5656152"/>
        <c:crosses val="autoZero"/>
        <c:crossBetween val="midCat"/>
      </c:valAx>
      <c:valAx>
        <c:axId val="2075656152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</a:t>
                </a:r>
                <a:r>
                  <a:rPr lang="en-US" baseline="0"/>
                  <a:t> </a:t>
                </a:r>
                <a:r>
                  <a:rPr lang="en-US"/>
                  <a:t> Flux 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5675224"/>
        <c:crosses val="autoZero"/>
        <c:crossBetween val="midCat"/>
        <c:majorUnit val="0.2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8881643700787401"/>
          <c:y val="0.60885165814127251"/>
          <c:w val="0.30613748210450964"/>
          <c:h val="0.13199206850968445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0.4 mol/L</c:v>
          </c:tx>
          <c:spPr>
            <a:ln w="28575"/>
          </c:spPr>
          <c:xVal>
            <c:numRef>
              <c:f>'Microbial fouling E.coli'!$S$65:$S$73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E.coli'!$AI$65:$AI$73</c:f>
              <c:numCache>
                <c:formatCode>General</c:formatCode>
                <c:ptCount val="9"/>
                <c:pt idx="0">
                  <c:v>1</c:v>
                </c:pt>
                <c:pt idx="1">
                  <c:v>0.99321047526673134</c:v>
                </c:pt>
                <c:pt idx="2">
                  <c:v>0.98351115421920476</c:v>
                </c:pt>
                <c:pt idx="3">
                  <c:v>0.95913990246034897</c:v>
                </c:pt>
                <c:pt idx="4">
                  <c:v>0.93412658297017825</c:v>
                </c:pt>
                <c:pt idx="5">
                  <c:v>0.92564309230748243</c:v>
                </c:pt>
                <c:pt idx="6">
                  <c:v>0.92093004193931804</c:v>
                </c:pt>
                <c:pt idx="7">
                  <c:v>0.88325296102512274</c:v>
                </c:pt>
                <c:pt idx="8">
                  <c:v>0.87318479255747872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17-4A8E-B1E2-F79BB3B5889D}"/>
            </c:ext>
          </c:extLst>
        </c:ser>
        <c:ser>
          <c:idx val="1"/>
          <c:order val="1"/>
          <c:tx>
            <c:v>Unmodified</c:v>
          </c:tx>
          <c:spPr>
            <a:ln w="28575"/>
          </c:spPr>
          <c:xVal>
            <c:numRef>
              <c:f>'Microbial fouling E.coli'!$S$14:$S$22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0.92480818414322274</c:v>
                </c:pt>
                <c:pt idx="2">
                  <c:v>0.895907928388747</c:v>
                </c:pt>
                <c:pt idx="3">
                  <c:v>0.85848252344416032</c:v>
                </c:pt>
                <c:pt idx="4">
                  <c:v>0.88709860755896597</c:v>
                </c:pt>
                <c:pt idx="5">
                  <c:v>0.88974140380790034</c:v>
                </c:pt>
                <c:pt idx="6">
                  <c:v>0.89326513213981285</c:v>
                </c:pt>
                <c:pt idx="7">
                  <c:v>0.89447286160841177</c:v>
                </c:pt>
                <c:pt idx="8">
                  <c:v>0.88709860755896597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17-4A8E-B1E2-F79BB3B58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78360"/>
        <c:axId val="2062399432"/>
      </c:scatterChart>
      <c:valAx>
        <c:axId val="2075578360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62399432"/>
        <c:crosses val="autoZero"/>
        <c:crossBetween val="midCat"/>
      </c:valAx>
      <c:valAx>
        <c:axId val="2062399432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5578360"/>
        <c:crosses val="autoZero"/>
        <c:crossBetween val="midCat"/>
        <c:majorUnit val="0.2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930923407301361"/>
          <c:y val="0.61980056325076138"/>
          <c:w val="0.30454657301360055"/>
          <c:h val="0.13199206850968445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0.6 mol/L</c:v>
          </c:tx>
          <c:spPr>
            <a:ln w="28575"/>
          </c:spPr>
          <c:xVal>
            <c:numRef>
              <c:f>'Microbial fouling E.coli'!$S$91:$S$99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E.coli'!$AI$91:$AI$99</c:f>
              <c:numCache>
                <c:formatCode>General</c:formatCode>
                <c:ptCount val="9"/>
                <c:pt idx="0">
                  <c:v>1</c:v>
                </c:pt>
                <c:pt idx="1">
                  <c:v>0.98623402163225171</c:v>
                </c:pt>
                <c:pt idx="2">
                  <c:v>0.96903367392016859</c:v>
                </c:pt>
                <c:pt idx="3">
                  <c:v>0.96031237085488708</c:v>
                </c:pt>
                <c:pt idx="4">
                  <c:v>0.93759708149858212</c:v>
                </c:pt>
                <c:pt idx="5">
                  <c:v>0.96066863323500506</c:v>
                </c:pt>
                <c:pt idx="6">
                  <c:v>0.93802459635472324</c:v>
                </c:pt>
                <c:pt idx="7">
                  <c:v>0.91563706838812642</c:v>
                </c:pt>
                <c:pt idx="8">
                  <c:v>0.91086315249454908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2E-421D-9617-0DBBEDFF9BB2}"/>
            </c:ext>
          </c:extLst>
        </c:ser>
        <c:ser>
          <c:idx val="1"/>
          <c:order val="1"/>
          <c:tx>
            <c:v>Unmodified</c:v>
          </c:tx>
          <c:spPr>
            <a:ln w="28575"/>
          </c:spPr>
          <c:xVal>
            <c:numRef>
              <c:f>'Microbial fouling E.coli'!$S$14:$S$22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0.92480818414322274</c:v>
                </c:pt>
                <c:pt idx="2">
                  <c:v>0.895907928388747</c:v>
                </c:pt>
                <c:pt idx="3">
                  <c:v>0.85848252344416032</c:v>
                </c:pt>
                <c:pt idx="4">
                  <c:v>0.88709860755896597</c:v>
                </c:pt>
                <c:pt idx="5">
                  <c:v>0.88974140380790034</c:v>
                </c:pt>
                <c:pt idx="6">
                  <c:v>0.89326513213981285</c:v>
                </c:pt>
                <c:pt idx="7">
                  <c:v>0.89447286160841177</c:v>
                </c:pt>
                <c:pt idx="8">
                  <c:v>0.88709860755896597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2E-421D-9617-0DBBEDFF9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15848"/>
        <c:axId val="2075327352"/>
      </c:scatterChart>
      <c:valAx>
        <c:axId val="2075515848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5327352"/>
        <c:crosses val="autoZero"/>
        <c:crossBetween val="midCat"/>
      </c:valAx>
      <c:valAx>
        <c:axId val="2075327352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5515848"/>
        <c:crosses val="autoZero"/>
        <c:crossBetween val="midCat"/>
      </c:valAx>
      <c:spPr>
        <a:ln>
          <a:solidFill>
            <a:schemeClr val="tx1">
              <a:tint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321358267716538"/>
          <c:y val="0.61851744353123739"/>
          <c:w val="0.30613748210450964"/>
          <c:h val="0.13199206850968445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0.8 mol/L</c:v>
          </c:tx>
          <c:xVal>
            <c:numRef>
              <c:f>'Microbial fouling E.coli'!$S$117:$S$125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E.coli'!$AI$117:$AI$125</c:f>
              <c:numCache>
                <c:formatCode>General</c:formatCode>
                <c:ptCount val="9"/>
                <c:pt idx="0">
                  <c:v>1</c:v>
                </c:pt>
                <c:pt idx="1">
                  <c:v>0.99012456514420366</c:v>
                </c:pt>
                <c:pt idx="2">
                  <c:v>0.95174503422735945</c:v>
                </c:pt>
                <c:pt idx="3">
                  <c:v>0.93878352597912684</c:v>
                </c:pt>
                <c:pt idx="4">
                  <c:v>0.93984962406015027</c:v>
                </c:pt>
                <c:pt idx="5">
                  <c:v>0.94529233531590151</c:v>
                </c:pt>
                <c:pt idx="6">
                  <c:v>0.9229323308270676</c:v>
                </c:pt>
                <c:pt idx="7">
                  <c:v>0.90175064526989113</c:v>
                </c:pt>
                <c:pt idx="8">
                  <c:v>0.88261699023678608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91F-4F79-919E-58337421A0FE}"/>
            </c:ext>
          </c:extLst>
        </c:ser>
        <c:ser>
          <c:idx val="1"/>
          <c:order val="1"/>
          <c:tx>
            <c:v>Unmodified</c:v>
          </c:tx>
          <c:xVal>
            <c:numRef>
              <c:f>'Microbial fouling E.coli'!$S$14:$S$22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E.coli'!$AI$14:$AI$22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0.92480818414322274</c:v>
                </c:pt>
                <c:pt idx="2">
                  <c:v>0.895907928388747</c:v>
                </c:pt>
                <c:pt idx="3">
                  <c:v>0.85848252344416032</c:v>
                </c:pt>
                <c:pt idx="4">
                  <c:v>0.88709860755896597</c:v>
                </c:pt>
                <c:pt idx="5">
                  <c:v>0.88974140380790034</c:v>
                </c:pt>
                <c:pt idx="6">
                  <c:v>0.89326513213981285</c:v>
                </c:pt>
                <c:pt idx="7">
                  <c:v>0.89447286160841177</c:v>
                </c:pt>
                <c:pt idx="8">
                  <c:v>0.88709860755896597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1F-4F79-919E-58337421A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937544"/>
        <c:axId val="2062193128"/>
      </c:scatterChart>
      <c:valAx>
        <c:axId val="2075937544"/>
        <c:scaling>
          <c:orientation val="minMax"/>
          <c:max val="2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2193128"/>
        <c:crosses val="autoZero"/>
        <c:crossBetween val="midCat"/>
      </c:valAx>
      <c:valAx>
        <c:axId val="2062193128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 Flux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5937544"/>
        <c:crosses val="autoZero"/>
        <c:crossBetween val="midCat"/>
      </c:valAx>
      <c:spPr>
        <a:ln>
          <a:solidFill>
            <a:schemeClr val="tx1">
              <a:tint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16519774516822"/>
          <c:y val="0.61409362920544019"/>
          <c:w val="0.30613748210450964"/>
          <c:h val="0.13151209735146743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'Microbial fouling E.coli'!$X$161</c:f>
              <c:strCache>
                <c:ptCount val="1"/>
                <c:pt idx="0">
                  <c:v>FDR</c:v>
                </c:pt>
              </c:strCache>
            </c:strRef>
          </c:tx>
          <c:spPr>
            <a:pattFill prst="dkUpDiag">
              <a:fgClr>
                <a:schemeClr val="tx2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'Microbial fouling E.coli'!$W$162:$W$166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'Microbial fouling E.coli'!$X$162:$X$166</c:f>
              <c:numCache>
                <c:formatCode>0.00%</c:formatCode>
                <c:ptCount val="5"/>
                <c:pt idx="0">
                  <c:v>0.11290139244103409</c:v>
                </c:pt>
                <c:pt idx="1">
                  <c:v>0.12237799657534243</c:v>
                </c:pt>
                <c:pt idx="2">
                  <c:v>0.12681520744252125</c:v>
                </c:pt>
                <c:pt idx="3">
                  <c:v>8.9136847505450909E-2</c:v>
                </c:pt>
                <c:pt idx="4">
                  <c:v>0.11738300976321397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1-491B-830C-6C8BA1D4F708}"/>
            </c:ext>
          </c:extLst>
        </c:ser>
        <c:ser>
          <c:idx val="1"/>
          <c:order val="1"/>
          <c:tx>
            <c:strRef>
              <c:f>'[1]modified membranes'!$AO$7</c:f>
              <c:strCache>
                <c:ptCount val="1"/>
                <c:pt idx="0">
                  <c:v>Initial Pure Water Flux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'Microbial fouling E.coli'!$W$162:$W$166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'[1]modified membranes'!$AO$8:$AO$12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2431-491B-830C-6C8BA1D4F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61784728"/>
        <c:axId val="2076434088"/>
      </c:barChart>
      <c:barChart>
        <c:barDir val="col"/>
        <c:grouping val="clustered"/>
        <c:varyColors val="0"/>
        <c:ser>
          <c:idx val="2"/>
          <c:order val="2"/>
          <c:tx>
            <c:strRef>
              <c:f>'[1]modified membranes'!$AP$7</c:f>
              <c:strCache>
                <c:ptCount val="1"/>
                <c:pt idx="0">
                  <c:v>Salt Rejection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'Microbial fouling E.coli'!$W$162:$W$166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'[1]modified membranes'!$AP$8:$AP$12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2-2431-491B-830C-6C8BA1D4F708}"/>
            </c:ext>
          </c:extLst>
        </c:ser>
        <c:ser>
          <c:idx val="3"/>
          <c:order val="3"/>
          <c:tx>
            <c:strRef>
              <c:f>'Microbial fouling E.coli'!$AA$161</c:f>
              <c:strCache>
                <c:ptCount val="1"/>
                <c:pt idx="0">
                  <c:v>FRR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'Microbial fouling E.coli'!$W$162:$W$166</c:f>
              <c:strCache>
                <c:ptCount val="5"/>
                <c:pt idx="0">
                  <c:v>M0</c:v>
                </c:pt>
                <c:pt idx="1">
                  <c:v>M0,2 mol/L</c:v>
                </c:pt>
                <c:pt idx="2">
                  <c:v>M0,4 mol/L</c:v>
                </c:pt>
                <c:pt idx="3">
                  <c:v>M0,6 mol/L</c:v>
                </c:pt>
                <c:pt idx="4">
                  <c:v>M0,8 mol/L</c:v>
                </c:pt>
              </c:strCache>
            </c:strRef>
          </c:cat>
          <c:val>
            <c:numRef>
              <c:f>'Microbial fouling E.coli'!$AA$162:$AA$166</c:f>
              <c:numCache>
                <c:formatCode>0.00%</c:formatCode>
                <c:ptCount val="5"/>
                <c:pt idx="0">
                  <c:v>0.82258064516129015</c:v>
                </c:pt>
                <c:pt idx="1">
                  <c:v>0.96875</c:v>
                </c:pt>
                <c:pt idx="2">
                  <c:v>0.94266813671444316</c:v>
                </c:pt>
                <c:pt idx="3">
                  <c:v>0.9687848383500558</c:v>
                </c:pt>
                <c:pt idx="4">
                  <c:v>0.88396349413298558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31-491B-830C-6C8BA1D4F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6640152"/>
        <c:axId val="2105914904"/>
      </c:barChart>
      <c:catAx>
        <c:axId val="206178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34088"/>
        <c:crosses val="autoZero"/>
        <c:auto val="1"/>
        <c:lblAlgn val="ctr"/>
        <c:lblOffset val="100"/>
        <c:noMultiLvlLbl val="0"/>
      </c:catAx>
      <c:valAx>
        <c:axId val="2076434088"/>
        <c:scaling>
          <c:orientation val="minMax"/>
          <c:max val="0.3500000000000000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784728"/>
        <c:crosses val="autoZero"/>
        <c:crossBetween val="between"/>
      </c:valAx>
      <c:valAx>
        <c:axId val="2105914904"/>
        <c:scaling>
          <c:orientation val="minMax"/>
          <c:max val="1.1000000000000001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FRR (%)</a:t>
                </a:r>
              </a:p>
            </c:rich>
          </c:tx>
          <c:layout>
            <c:manualLayout>
              <c:xMode val="edge"/>
              <c:yMode val="edge"/>
              <c:x val="0.95319114882259315"/>
              <c:y val="0.4198286014202767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40152"/>
        <c:crosses val="max"/>
        <c:crossBetween val="between"/>
      </c:valAx>
      <c:catAx>
        <c:axId val="2076640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59149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080171202666096"/>
          <c:y val="2.4205743098444699E-2"/>
          <c:w val="0.16119379697514399"/>
          <c:h val="0.102118693433072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unmodified</c:v>
          </c:tx>
          <c:xVal>
            <c:numRef>
              <c:f>'Microbial fouling S Aureus'!$S$14:$S$22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0.91715181370353782</c:v>
                </c:pt>
                <c:pt idx="2">
                  <c:v>0.76309896999552163</c:v>
                </c:pt>
                <c:pt idx="3">
                  <c:v>0.78529844539696769</c:v>
                </c:pt>
                <c:pt idx="4">
                  <c:v>0.80506685432793812</c:v>
                </c:pt>
                <c:pt idx="5">
                  <c:v>0.73853240355703387</c:v>
                </c:pt>
                <c:pt idx="6">
                  <c:v>0.79342332544302996</c:v>
                </c:pt>
                <c:pt idx="7">
                  <c:v>0.69525302283922974</c:v>
                </c:pt>
                <c:pt idx="8">
                  <c:v>0.73469387755102022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C1-4FE7-B6E1-DA7B3A162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468232"/>
        <c:axId val="2079339368"/>
      </c:scatterChart>
      <c:valAx>
        <c:axId val="2079468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9339368"/>
        <c:crosses val="autoZero"/>
        <c:crossBetween val="midCat"/>
      </c:valAx>
      <c:valAx>
        <c:axId val="2079339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79468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0.2 mol/L</c:v>
          </c:tx>
          <c:spPr>
            <a:ln w="28575"/>
          </c:spPr>
          <c:xVal>
            <c:numRef>
              <c:f>'Microbial fouling S Aureus'!$S$40:$S$48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Aureus'!$AI$40:$AI$48</c:f>
              <c:numCache>
                <c:formatCode>General</c:formatCode>
                <c:ptCount val="9"/>
                <c:pt idx="0">
                  <c:v>1</c:v>
                </c:pt>
                <c:pt idx="1">
                  <c:v>0.81046574969358565</c:v>
                </c:pt>
                <c:pt idx="2">
                  <c:v>0.76998501974669775</c:v>
                </c:pt>
                <c:pt idx="3">
                  <c:v>0.65633937082936133</c:v>
                </c:pt>
                <c:pt idx="4">
                  <c:v>0.69726269916927686</c:v>
                </c:pt>
                <c:pt idx="5">
                  <c:v>0.75125970311861634</c:v>
                </c:pt>
                <c:pt idx="6">
                  <c:v>0.79831131690044932</c:v>
                </c:pt>
                <c:pt idx="7">
                  <c:v>0.90378591856189583</c:v>
                </c:pt>
                <c:pt idx="8">
                  <c:v>0.96282173498570089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35-4636-BE8F-08436C7F5109}"/>
            </c:ext>
          </c:extLst>
        </c:ser>
        <c:ser>
          <c:idx val="1"/>
          <c:order val="1"/>
          <c:tx>
            <c:v>Unmodified</c:v>
          </c:tx>
          <c:spPr>
            <a:ln w="28575"/>
          </c:spPr>
          <c:xVal>
            <c:numRef>
              <c:f>'Microbial fouling S Aureus'!$S$14:$S$22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'Microbial fouling S Aureus'!$AI$14:$AI$22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0.91715181370353782</c:v>
                </c:pt>
                <c:pt idx="2">
                  <c:v>0.76309896999552163</c:v>
                </c:pt>
                <c:pt idx="3">
                  <c:v>0.78529844539696769</c:v>
                </c:pt>
                <c:pt idx="4">
                  <c:v>0.80506685432793812</c:v>
                </c:pt>
                <c:pt idx="5">
                  <c:v>0.73853240355703387</c:v>
                </c:pt>
                <c:pt idx="6">
                  <c:v>0.79342332544302996</c:v>
                </c:pt>
                <c:pt idx="7">
                  <c:v>0.69525302283922974</c:v>
                </c:pt>
                <c:pt idx="8">
                  <c:v>0.73469387755102022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135-4636-BE8F-08436C7F5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528344"/>
        <c:axId val="2079513976"/>
      </c:scatterChart>
      <c:valAx>
        <c:axId val="2080528344"/>
        <c:scaling>
          <c:orientation val="minMax"/>
          <c:max val="2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79513976"/>
        <c:crosses val="autoZero"/>
        <c:crossBetween val="midCat"/>
      </c:valAx>
      <c:valAx>
        <c:axId val="2079513976"/>
        <c:scaling>
          <c:orientation val="minMax"/>
          <c:max val="1.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Fractional</a:t>
                </a:r>
                <a:r>
                  <a:rPr lang="en-US" baseline="0"/>
                  <a:t> Flux</a:t>
                </a:r>
                <a:endParaRPr lang="en-US"/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/>
        </c:spPr>
        <c:crossAx val="2080528344"/>
        <c:crosses val="autoZero"/>
        <c:crossBetween val="midCat"/>
      </c:valAx>
      <c:spPr>
        <a:ln>
          <a:solidFill>
            <a:schemeClr val="accent3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018007337151039"/>
          <c:y val="0.57965457784930163"/>
          <c:w val="0.30613748210450964"/>
          <c:h val="0.13199206850968445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523874</xdr:colOff>
      <xdr:row>1</xdr:row>
      <xdr:rowOff>161925</xdr:rowOff>
    </xdr:from>
    <xdr:to>
      <xdr:col>8</xdr:col>
      <xdr:colOff>466725</xdr:colOff>
      <xdr:row>6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762C2B9-B193-49B9-9470-6061458B58FD}"/>
            </a:ext>
          </a:extLst>
        </xdr:cNvPr>
        <xdr:cNvSpPr txBox="1"/>
      </xdr:nvSpPr>
      <xdr:spPr>
        <a:xfrm>
          <a:off x="1133474" y="352425"/>
          <a:ext cx="4210051" cy="8858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-Pure water                                                 -Modified membrane 0,2 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9L                   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21°C                                                  -Hydraulic Pressure=  ±30Bar</a:t>
          </a:r>
        </a:p>
        <a:p>
          <a:endParaRPr lang="en-ZA" sz="1100"/>
        </a:p>
      </xdr:txBody>
    </xdr:sp>
    <xdr:clientData/>
  </xdr:twoCellAnchor>
  <xdr:twoCellAnchor>
    <xdr:from>
      <xdr:col>1</xdr:col>
      <xdr:colOff>485774</xdr:colOff>
      <xdr:row>22</xdr:row>
      <xdr:rowOff>152400</xdr:rowOff>
    </xdr:from>
    <xdr:to>
      <xdr:col>8</xdr:col>
      <xdr:colOff>447675</xdr:colOff>
      <xdr:row>27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76B3D7-7A82-4075-8040-DE600E57C284}"/>
            </a:ext>
          </a:extLst>
        </xdr:cNvPr>
        <xdr:cNvSpPr txBox="1"/>
      </xdr:nvSpPr>
      <xdr:spPr>
        <a:xfrm>
          <a:off x="1095374" y="4343400"/>
          <a:ext cx="4229101" cy="895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</a:t>
          </a: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Pure water                                                 -Modified membrane 0,4 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9L                   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20°C                 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ZA" sz="1100"/>
        </a:p>
      </xdr:txBody>
    </xdr:sp>
    <xdr:clientData/>
  </xdr:twoCellAnchor>
  <xdr:twoCellAnchor>
    <xdr:from>
      <xdr:col>1</xdr:col>
      <xdr:colOff>428624</xdr:colOff>
      <xdr:row>42</xdr:row>
      <xdr:rowOff>142875</xdr:rowOff>
    </xdr:from>
    <xdr:to>
      <xdr:col>8</xdr:col>
      <xdr:colOff>466725</xdr:colOff>
      <xdr:row>47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A5E3EB6-92CF-4FFE-95D9-24009712AA0E}"/>
            </a:ext>
          </a:extLst>
        </xdr:cNvPr>
        <xdr:cNvSpPr txBox="1"/>
      </xdr:nvSpPr>
      <xdr:spPr>
        <a:xfrm>
          <a:off x="1038224" y="8143875"/>
          <a:ext cx="4305301" cy="923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-Pure water                                                 -Modified membrane 0,6 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9L                                               -Pressure=  ±15Bar (15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20°C                 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ZA" sz="1100"/>
        </a:p>
      </xdr:txBody>
    </xdr:sp>
    <xdr:clientData/>
  </xdr:twoCellAnchor>
  <xdr:twoCellAnchor>
    <xdr:from>
      <xdr:col>1</xdr:col>
      <xdr:colOff>352425</xdr:colOff>
      <xdr:row>63</xdr:row>
      <xdr:rowOff>47626</xdr:rowOff>
    </xdr:from>
    <xdr:to>
      <xdr:col>8</xdr:col>
      <xdr:colOff>466725</xdr:colOff>
      <xdr:row>67</xdr:row>
      <xdr:rowOff>180976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E865FB-D69F-4436-9DFE-5D4AE0F510F0}"/>
            </a:ext>
          </a:extLst>
        </xdr:cNvPr>
        <xdr:cNvSpPr txBox="1"/>
      </xdr:nvSpPr>
      <xdr:spPr>
        <a:xfrm>
          <a:off x="962025" y="12049126"/>
          <a:ext cx="4381500" cy="895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-Pure water                                                 -Modified membrane 0,8 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9L                                               -Pressure=  ±15Bar (15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20°C                                                  -Hydraulic Pressure=  ±30Bar</a:t>
          </a:r>
        </a:p>
        <a:p>
          <a:endParaRPr lang="en-ZA" sz="1100"/>
        </a:p>
      </xdr:txBody>
    </xdr:sp>
    <xdr:clientData/>
  </xdr:twoCellAnchor>
  <xdr:twoCellAnchor>
    <xdr:from>
      <xdr:col>16</xdr:col>
      <xdr:colOff>104775</xdr:colOff>
      <xdr:row>2</xdr:row>
      <xdr:rowOff>19050</xdr:rowOff>
    </xdr:from>
    <xdr:to>
      <xdr:col>23</xdr:col>
      <xdr:colOff>152400</xdr:colOff>
      <xdr:row>6</xdr:row>
      <xdr:rowOff>85726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BBBD684-D5FC-4067-B355-D975B9FA4569}"/>
            </a:ext>
          </a:extLst>
        </xdr:cNvPr>
        <xdr:cNvSpPr txBox="1"/>
      </xdr:nvSpPr>
      <xdr:spPr>
        <a:xfrm>
          <a:off x="9858375" y="400050"/>
          <a:ext cx="4314825" cy="8286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-NaCL 500ppm                           -Modified membrane M0,2mol/L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10L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19°C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en-ZA" sz="1100"/>
        </a:p>
      </xdr:txBody>
    </xdr:sp>
    <xdr:clientData/>
  </xdr:twoCellAnchor>
  <xdr:twoCellAnchor>
    <xdr:from>
      <xdr:col>16</xdr:col>
      <xdr:colOff>107156</xdr:colOff>
      <xdr:row>24</xdr:row>
      <xdr:rowOff>23813</xdr:rowOff>
    </xdr:from>
    <xdr:to>
      <xdr:col>23</xdr:col>
      <xdr:colOff>171449</xdr:colOff>
      <xdr:row>28</xdr:row>
      <xdr:rowOff>90489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F76809-CF27-40A3-AC25-9A4F9E799FCD}"/>
            </a:ext>
          </a:extLst>
        </xdr:cNvPr>
        <xdr:cNvSpPr txBox="1"/>
      </xdr:nvSpPr>
      <xdr:spPr>
        <a:xfrm>
          <a:off x="9860756" y="4595813"/>
          <a:ext cx="4331493" cy="82867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FEED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-NaCL 500ppm                           -Modified membrane M0,4mol/L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-Volume = 10L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-Temp 20°C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119062</xdr:colOff>
      <xdr:row>44</xdr:row>
      <xdr:rowOff>11906</xdr:rowOff>
    </xdr:from>
    <xdr:to>
      <xdr:col>23</xdr:col>
      <xdr:colOff>183355</xdr:colOff>
      <xdr:row>48</xdr:row>
      <xdr:rowOff>78582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78F60FE-AF3A-4175-9A3E-E528AE2AF8BC}"/>
            </a:ext>
          </a:extLst>
        </xdr:cNvPr>
        <xdr:cNvSpPr txBox="1"/>
      </xdr:nvSpPr>
      <xdr:spPr>
        <a:xfrm>
          <a:off x="9872662" y="8393906"/>
          <a:ext cx="4331493" cy="82867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FEED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-NaCL 500ppm                           -Modified membrane M0,6mol/L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-Volume = 10L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-Temp 20,1°C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0</xdr:colOff>
      <xdr:row>64</xdr:row>
      <xdr:rowOff>0</xdr:rowOff>
    </xdr:from>
    <xdr:to>
      <xdr:col>23</xdr:col>
      <xdr:colOff>64293</xdr:colOff>
      <xdr:row>68</xdr:row>
      <xdr:rowOff>66676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ABFF372-0276-4FE8-ADF4-4914575722CF}"/>
            </a:ext>
          </a:extLst>
        </xdr:cNvPr>
        <xdr:cNvSpPr txBox="1"/>
      </xdr:nvSpPr>
      <xdr:spPr>
        <a:xfrm>
          <a:off x="9753600" y="12192000"/>
          <a:ext cx="4331493" cy="82867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FEED        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-NaCL 500ppm                           -Modified membrane M0,8mol/L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-Volume = 10L        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-Temp 20,1°C                                 -Hydraulic Pressure=  ±30Bar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517072</xdr:colOff>
      <xdr:row>84</xdr:row>
      <xdr:rowOff>0</xdr:rowOff>
    </xdr:from>
    <xdr:to>
      <xdr:col>8</xdr:col>
      <xdr:colOff>435428</xdr:colOff>
      <xdr:row>88</xdr:row>
      <xdr:rowOff>122464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7E70663-2EBC-4301-A777-CE3F88F41311}"/>
            </a:ext>
          </a:extLst>
        </xdr:cNvPr>
        <xdr:cNvSpPr txBox="1"/>
      </xdr:nvSpPr>
      <xdr:spPr>
        <a:xfrm>
          <a:off x="1126672" y="16002000"/>
          <a:ext cx="4185556" cy="8844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-Pure water                         -Unmodified membrane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15L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18°C                         -Hydraulic Pressure=  ±30Bar</a:t>
          </a:r>
        </a:p>
        <a:p>
          <a:endParaRPr lang="en-ZA" sz="1100"/>
        </a:p>
      </xdr:txBody>
    </xdr:sp>
    <xdr:clientData/>
  </xdr:twoCellAnchor>
  <xdr:twoCellAnchor>
    <xdr:from>
      <xdr:col>16</xdr:col>
      <xdr:colOff>27214</xdr:colOff>
      <xdr:row>85</xdr:row>
      <xdr:rowOff>54429</xdr:rowOff>
    </xdr:from>
    <xdr:to>
      <xdr:col>23</xdr:col>
      <xdr:colOff>176893</xdr:colOff>
      <xdr:row>90</xdr:row>
      <xdr:rowOff>27214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BF8693B-1C9D-4244-B510-82708CA50F7E}"/>
            </a:ext>
          </a:extLst>
        </xdr:cNvPr>
        <xdr:cNvSpPr txBox="1"/>
      </xdr:nvSpPr>
      <xdr:spPr>
        <a:xfrm>
          <a:off x="9780814" y="16246929"/>
          <a:ext cx="4416879" cy="9252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FEED                                      SPECIFICATIONS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-NaCL 500ppm                    -Unmodified membrane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-Volume = 10L                    -Pressure=  ±15Bar (15-20 Bar)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-Temp 18°C                         -Hydraulic Pressure=  ±30Bar</a:t>
          </a:r>
        </a:p>
        <a:p>
          <a:endParaRPr lang="en-ZA" sz="1100"/>
        </a:p>
      </xdr:txBody>
    </xdr:sp>
    <xdr:clientData/>
  </xdr:twoCellAnchor>
  <xdr:twoCellAnchor>
    <xdr:from>
      <xdr:col>39</xdr:col>
      <xdr:colOff>721179</xdr:colOff>
      <xdr:row>16</xdr:row>
      <xdr:rowOff>13607</xdr:rowOff>
    </xdr:from>
    <xdr:to>
      <xdr:col>44</xdr:col>
      <xdr:colOff>752929</xdr:colOff>
      <xdr:row>38</xdr:row>
      <xdr:rowOff>19958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9F95D62-7AE0-48FF-98F4-E7250BBA9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029200" y="777876"/>
          <a:ext cx="4140200" cy="968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15L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24.2°C                                                -Hydraulic Pressure=  ±20Bar</a:t>
          </a:r>
        </a:p>
        <a:p>
          <a:r>
            <a:rPr lang="de-DE" sz="1100"/>
            <a:t>-EC: 4.4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887825" y="368300"/>
          <a:ext cx="5810250" cy="13817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-Fouling</a:t>
          </a:r>
          <a:r>
            <a:rPr lang="de-DE" sz="1100" baseline="0"/>
            <a:t> E. coli   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15L +250mL E.coli Broth         -Pressure=  ±15Bar </a:t>
          </a:r>
        </a:p>
        <a:p>
          <a:r>
            <a:rPr lang="de-DE" sz="1100"/>
            <a:t>-Temp 24.0°C </a:t>
          </a:r>
        </a:p>
        <a:p>
          <a:r>
            <a:rPr lang="de-DE" sz="1100"/>
            <a:t>-EC: 272.5 </a:t>
          </a:r>
          <a:r>
            <a:rPr lang="el-GR" sz="1100"/>
            <a:t>μS</a:t>
          </a:r>
          <a:r>
            <a:rPr lang="en-US" sz="1100" baseline="0"/>
            <a:t>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0.37NTU (Permeate</a:t>
          </a:r>
          <a:r>
            <a:rPr lang="de-DE" sz="1100" baseline="0"/>
            <a:t> turbidity:0.10 NTU)</a:t>
          </a:r>
          <a:endParaRPr lang="de-DE" sz="1100"/>
        </a:p>
        <a:p>
          <a:r>
            <a:rPr lang="de-DE" sz="1100"/>
            <a:t>-pH: 7.49                                  </a:t>
          </a:r>
        </a:p>
      </xdr:txBody>
    </xdr:sp>
    <xdr:clientData/>
  </xdr:twoCellAnchor>
  <xdr:twoCellAnchor>
    <xdr:from>
      <xdr:col>47</xdr:col>
      <xdr:colOff>650875</xdr:colOff>
      <xdr:row>4</xdr:row>
      <xdr:rowOff>47625</xdr:rowOff>
    </xdr:from>
    <xdr:to>
      <xdr:col>54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6243875" y="581025"/>
          <a:ext cx="616585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6</xdr:col>
      <xdr:colOff>109220</xdr:colOff>
      <xdr:row>30</xdr:row>
      <xdr:rowOff>43180</xdr:rowOff>
    </xdr:from>
    <xdr:to>
      <xdr:col>10</xdr:col>
      <xdr:colOff>152400</xdr:colOff>
      <xdr:row>35</xdr:row>
      <xdr:rowOff>160020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062220" y="5377180"/>
          <a:ext cx="4208780" cy="1005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0.2mol/L</a:t>
          </a:r>
        </a:p>
        <a:p>
          <a:r>
            <a:rPr lang="de-DE" sz="1100"/>
            <a:t>-Volume = 15L</a:t>
          </a:r>
        </a:p>
        <a:p>
          <a:r>
            <a:rPr lang="de-DE" sz="1100"/>
            <a:t>-Ec: 4.8 </a:t>
          </a:r>
          <a:r>
            <a:rPr lang="el-GR" sz="1100"/>
            <a:t>μS</a:t>
          </a:r>
          <a:r>
            <a:rPr lang="en-US" sz="1100"/>
            <a:t>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  -Hydraulic Pressure=  ±20Bar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18</xdr:col>
      <xdr:colOff>83820</xdr:colOff>
      <xdr:row>26</xdr:row>
      <xdr:rowOff>93980</xdr:rowOff>
    </xdr:from>
    <xdr:to>
      <xdr:col>25</xdr:col>
      <xdr:colOff>215900</xdr:colOff>
      <xdr:row>35</xdr:row>
      <xdr:rowOff>53340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6936720" y="4716780"/>
          <a:ext cx="5910580" cy="15595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-Fouling E. coli                                             -modified membrane 0.2 mol/L</a:t>
          </a:r>
        </a:p>
        <a:p>
          <a:r>
            <a:rPr lang="de-DE" sz="1100"/>
            <a:t>-Volume = 15L +250mL E.coli Broth         -Pressure=  ±15Bar </a:t>
          </a:r>
        </a:p>
        <a:p>
          <a:r>
            <a:rPr lang="de-DE" sz="1100"/>
            <a:t>-Temp 24.2°C </a:t>
          </a:r>
        </a:p>
        <a:p>
          <a:r>
            <a:rPr lang="de-DE" sz="1100"/>
            <a:t>-EC: 271.4</a:t>
          </a:r>
          <a:r>
            <a:rPr lang="de-DE" sz="1100" baseline="0"/>
            <a:t> </a:t>
          </a:r>
          <a:r>
            <a:rPr lang="de-DE" sz="1100"/>
            <a:t>μS</a:t>
          </a:r>
          <a:r>
            <a:rPr lang="de-DE" sz="1100" baseline="0"/>
            <a:t>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0.39</a:t>
          </a:r>
          <a:r>
            <a:rPr lang="de-DE" sz="1100" baseline="0"/>
            <a:t> </a:t>
          </a:r>
          <a:r>
            <a:rPr lang="de-DE" sz="1100"/>
            <a:t>NTU (Permeate turbidity:0.12 NTU)</a:t>
          </a:r>
        </a:p>
        <a:p>
          <a:r>
            <a:rPr lang="de-DE" sz="1100"/>
            <a:t>-pH: 7.28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609600</xdr:colOff>
      <xdr:row>28</xdr:row>
      <xdr:rowOff>40640</xdr:rowOff>
    </xdr:from>
    <xdr:to>
      <xdr:col>54</xdr:col>
      <xdr:colOff>447040</xdr:colOff>
      <xdr:row>33</xdr:row>
      <xdr:rowOff>60960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6202600" y="4841240"/>
          <a:ext cx="6162040" cy="909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0.2mol/L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7.4 μS                                                          </a:t>
          </a:r>
        </a:p>
        <a:p>
          <a:endParaRPr lang="de-DE" sz="1100"/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6</xdr:col>
      <xdr:colOff>71120</xdr:colOff>
      <xdr:row>54</xdr:row>
      <xdr:rowOff>111760</xdr:rowOff>
    </xdr:from>
    <xdr:to>
      <xdr:col>10</xdr:col>
      <xdr:colOff>241300</xdr:colOff>
      <xdr:row>60</xdr:row>
      <xdr:rowOff>172720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024120" y="9712960"/>
          <a:ext cx="4335780" cy="1127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18</xdr:col>
      <xdr:colOff>88900</xdr:colOff>
      <xdr:row>51</xdr:row>
      <xdr:rowOff>121920</xdr:rowOff>
    </xdr:from>
    <xdr:to>
      <xdr:col>25</xdr:col>
      <xdr:colOff>292100</xdr:colOff>
      <xdr:row>58</xdr:row>
      <xdr:rowOff>142240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6941800" y="9189720"/>
          <a:ext cx="5981700" cy="12649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-Fouling E. coli                                             -modified membrane 0.4 mol/L</a:t>
          </a:r>
        </a:p>
        <a:p>
          <a:r>
            <a:rPr lang="de-DE" sz="1100"/>
            <a:t>-Volume = 15L +250mL E.coli Broth         -Pressure=  ±15Bar </a:t>
          </a:r>
        </a:p>
        <a:p>
          <a:r>
            <a:rPr lang="de-DE" sz="1100"/>
            <a:t>-Temp 24°C </a:t>
          </a:r>
        </a:p>
        <a:p>
          <a:r>
            <a:rPr lang="de-DE" sz="1100"/>
            <a:t>-EC: 262.1 μS                                                            -Hydraulic Pressure=  ±20Bar</a:t>
          </a:r>
        </a:p>
        <a:p>
          <a:r>
            <a:rPr lang="de-DE" sz="1100"/>
            <a:t>-Turbidity: 0.35 NTU (Permeate turbidity:0.15 NTU)</a:t>
          </a:r>
        </a:p>
        <a:p>
          <a:r>
            <a:rPr lang="de-DE" sz="1100"/>
            <a:t>-pH: 7.12                                  </a:t>
          </a:r>
        </a:p>
      </xdr:txBody>
    </xdr:sp>
    <xdr:clientData/>
  </xdr:twoCellAnchor>
  <xdr:twoCellAnchor>
    <xdr:from>
      <xdr:col>47</xdr:col>
      <xdr:colOff>609600</xdr:colOff>
      <xdr:row>55</xdr:row>
      <xdr:rowOff>111760</xdr:rowOff>
    </xdr:from>
    <xdr:to>
      <xdr:col>53</xdr:col>
      <xdr:colOff>172720</xdr:colOff>
      <xdr:row>61</xdr:row>
      <xdr:rowOff>91440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46202600" y="9712960"/>
          <a:ext cx="5214620" cy="1046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6.8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5</xdr:col>
      <xdr:colOff>274320</xdr:colOff>
      <xdr:row>81</xdr:row>
      <xdr:rowOff>50800</xdr:rowOff>
    </xdr:from>
    <xdr:to>
      <xdr:col>11</xdr:col>
      <xdr:colOff>132080</xdr:colOff>
      <xdr:row>87</xdr:row>
      <xdr:rowOff>10160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5445720" y="14274800"/>
          <a:ext cx="5356860" cy="1026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0.6</a:t>
          </a:r>
          <a:r>
            <a:rPr lang="de-DE" sz="1100" baseline="0"/>
            <a:t> </a:t>
          </a:r>
          <a:r>
            <a:rPr lang="de-DE" sz="1100"/>
            <a:t>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18</xdr:col>
      <xdr:colOff>81280</xdr:colOff>
      <xdr:row>78</xdr:row>
      <xdr:rowOff>96520</xdr:rowOff>
    </xdr:from>
    <xdr:to>
      <xdr:col>25</xdr:col>
      <xdr:colOff>266700</xdr:colOff>
      <xdr:row>85</xdr:row>
      <xdr:rowOff>106680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6934180" y="13964920"/>
          <a:ext cx="5963920" cy="1254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-Fouling E. coli                                             -modified membrane 0.6 mol/L</a:t>
          </a:r>
        </a:p>
        <a:p>
          <a:r>
            <a:rPr lang="de-DE" sz="1100"/>
            <a:t>-Volume = 15L +250mL E.coli Broth         -Pressure=  ±15Bar </a:t>
          </a:r>
        </a:p>
        <a:p>
          <a:r>
            <a:rPr lang="de-DE" sz="1100"/>
            <a:t>-Temp 24.7°C </a:t>
          </a:r>
        </a:p>
        <a:p>
          <a:r>
            <a:rPr lang="de-DE" sz="1100"/>
            <a:t>-EC: 270.1 μS                                                            -Hydraulic Pressure=  ±20Bar</a:t>
          </a:r>
        </a:p>
        <a:p>
          <a:r>
            <a:rPr lang="de-DE" sz="1100"/>
            <a:t>-Turbidity: 0.34 NTU (Permeate turbidity:0.18</a:t>
          </a:r>
          <a:r>
            <a:rPr lang="de-DE" sz="1100" baseline="0"/>
            <a:t> </a:t>
          </a:r>
          <a:r>
            <a:rPr lang="de-DE" sz="1100"/>
            <a:t>NTU)</a:t>
          </a:r>
        </a:p>
        <a:p>
          <a:r>
            <a:rPr lang="de-DE" sz="1100"/>
            <a:t>-pH: 7.58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640080</xdr:colOff>
      <xdr:row>79</xdr:row>
      <xdr:rowOff>81280</xdr:rowOff>
    </xdr:from>
    <xdr:to>
      <xdr:col>53</xdr:col>
      <xdr:colOff>111760</xdr:colOff>
      <xdr:row>85</xdr:row>
      <xdr:rowOff>132080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46233080" y="13949680"/>
          <a:ext cx="512318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-modified membrane 0.6mol/L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7.2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</xdr:col>
      <xdr:colOff>406400</xdr:colOff>
      <xdr:row>105</xdr:row>
      <xdr:rowOff>12700</xdr:rowOff>
    </xdr:from>
    <xdr:to>
      <xdr:col>11</xdr:col>
      <xdr:colOff>152400</xdr:colOff>
      <xdr:row>110</xdr:row>
      <xdr:rowOff>114300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4533900" y="18681700"/>
          <a:ext cx="601980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0.8 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23.3°C                                                -Hydraulic Pressure=  ±20Bar</a:t>
          </a:r>
        </a:p>
        <a:p>
          <a:r>
            <a:rPr lang="de-DE" sz="1100"/>
            <a:t>-Ec: 5.1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18</xdr:col>
      <xdr:colOff>114300</xdr:colOff>
      <xdr:row>105</xdr:row>
      <xdr:rowOff>25400</xdr:rowOff>
    </xdr:from>
    <xdr:to>
      <xdr:col>25</xdr:col>
      <xdr:colOff>266700</xdr:colOff>
      <xdr:row>112</xdr:row>
      <xdr:rowOff>114300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6967200" y="18694400"/>
          <a:ext cx="5930900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-Fouling E. coli                                             -modified membrane 0.8 mol/L</a:t>
          </a:r>
        </a:p>
        <a:p>
          <a:r>
            <a:rPr lang="de-DE" sz="1100"/>
            <a:t>-Volume = 15L +250mL E.coli Broth         -Pressure=  ±15Bar </a:t>
          </a:r>
        </a:p>
        <a:p>
          <a:r>
            <a:rPr lang="de-DE" sz="1100"/>
            <a:t>-Temp 23.4°C </a:t>
          </a:r>
        </a:p>
        <a:p>
          <a:r>
            <a:rPr lang="de-DE" sz="1100"/>
            <a:t>-EC: 269.1 μS                                                            -Hydraulic Pressure=  ±20Bar</a:t>
          </a:r>
        </a:p>
        <a:p>
          <a:r>
            <a:rPr lang="de-DE" sz="1100"/>
            <a:t>-Turbidity: 0.32 NTU (Permeate turbidity:0.16 NTU)</a:t>
          </a:r>
        </a:p>
        <a:p>
          <a:r>
            <a:rPr lang="de-DE" sz="1100"/>
            <a:t>-pH: 7.35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711200</xdr:colOff>
      <xdr:row>106</xdr:row>
      <xdr:rowOff>101600</xdr:rowOff>
    </xdr:from>
    <xdr:to>
      <xdr:col>53</xdr:col>
      <xdr:colOff>190500</xdr:colOff>
      <xdr:row>113</xdr:row>
      <xdr:rowOff>12700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37846000" y="18948400"/>
          <a:ext cx="4800600" cy="1155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-modified membrane 0.8mol/L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6.2 μS                                                          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37</xdr:col>
      <xdr:colOff>469900</xdr:colOff>
      <xdr:row>4</xdr:row>
      <xdr:rowOff>152400</xdr:rowOff>
    </xdr:from>
    <xdr:to>
      <xdr:col>43</xdr:col>
      <xdr:colOff>368300</xdr:colOff>
      <xdr:row>23</xdr:row>
      <xdr:rowOff>25400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406400</xdr:colOff>
      <xdr:row>32</xdr:row>
      <xdr:rowOff>0</xdr:rowOff>
    </xdr:from>
    <xdr:to>
      <xdr:col>43</xdr:col>
      <xdr:colOff>304800</xdr:colOff>
      <xdr:row>50</xdr:row>
      <xdr:rowOff>50800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355600</xdr:colOff>
      <xdr:row>57</xdr:row>
      <xdr:rowOff>12700</xdr:rowOff>
    </xdr:from>
    <xdr:to>
      <xdr:col>43</xdr:col>
      <xdr:colOff>254000</xdr:colOff>
      <xdr:row>76</xdr:row>
      <xdr:rowOff>63500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482600</xdr:colOff>
      <xdr:row>86</xdr:row>
      <xdr:rowOff>38100</xdr:rowOff>
    </xdr:from>
    <xdr:to>
      <xdr:col>43</xdr:col>
      <xdr:colOff>381000</xdr:colOff>
      <xdr:row>104</xdr:row>
      <xdr:rowOff>88900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520700</xdr:colOff>
      <xdr:row>110</xdr:row>
      <xdr:rowOff>127000</xdr:rowOff>
    </xdr:from>
    <xdr:to>
      <xdr:col>43</xdr:col>
      <xdr:colOff>419100</xdr:colOff>
      <xdr:row>129</xdr:row>
      <xdr:rowOff>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476250</xdr:colOff>
      <xdr:row>136</xdr:row>
      <xdr:rowOff>95250</xdr:rowOff>
    </xdr:from>
    <xdr:to>
      <xdr:col>29</xdr:col>
      <xdr:colOff>520700</xdr:colOff>
      <xdr:row>158</xdr:row>
      <xdr:rowOff>101601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648200" y="828676"/>
          <a:ext cx="3022600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15L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24.2°C                                                -Hydraulic Pressure=  ±20Bar</a:t>
          </a:r>
        </a:p>
        <a:p>
          <a:r>
            <a:rPr lang="de-DE" sz="1100"/>
            <a:t>-EC: 4.4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3750925" y="393700"/>
          <a:ext cx="5365750" cy="1470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         SPECIFICATIONS</a:t>
          </a:r>
        </a:p>
        <a:p>
          <a:r>
            <a:rPr lang="de-DE" sz="1100"/>
            <a:t>-Fouling</a:t>
          </a:r>
          <a:r>
            <a:rPr lang="de-DE" sz="1100" baseline="0"/>
            <a:t> S Aureus       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2L</a:t>
          </a:r>
          <a:r>
            <a:rPr lang="de-DE" sz="1100" baseline="0"/>
            <a:t> Nutrient broth</a:t>
          </a:r>
          <a:r>
            <a:rPr lang="de-DE" sz="1100"/>
            <a:t> +4*250mL E.coli Broth         -Pressure=  ±15Bar </a:t>
          </a:r>
        </a:p>
        <a:p>
          <a:r>
            <a:rPr lang="de-DE" sz="1100"/>
            <a:t>-Temp 21,3°C </a:t>
          </a:r>
        </a:p>
        <a:p>
          <a:r>
            <a:rPr lang="de-DE" sz="1100"/>
            <a:t>-EC 11,45 </a:t>
          </a:r>
          <a:r>
            <a:rPr lang="en-US" sz="1100"/>
            <a:t>m</a:t>
          </a:r>
          <a:r>
            <a:rPr lang="el-GR" sz="1100"/>
            <a:t>S</a:t>
          </a:r>
          <a:r>
            <a:rPr lang="en-US" sz="1100" baseline="0"/>
            <a:t>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3,95</a:t>
          </a:r>
          <a:r>
            <a:rPr lang="de-DE" sz="1100" baseline="0"/>
            <a:t> </a:t>
          </a:r>
          <a:r>
            <a:rPr lang="de-DE" sz="1100"/>
            <a:t>NTU </a:t>
          </a:r>
          <a:r>
            <a:rPr lang="de-DE" sz="1100" baseline="0"/>
            <a:t>                                            </a:t>
          </a:r>
          <a:r>
            <a:rPr lang="de-DE" sz="1100"/>
            <a:t>-pH: 8,15                                  </a:t>
          </a:r>
        </a:p>
      </xdr:txBody>
    </xdr:sp>
    <xdr:clientData/>
  </xdr:twoCellAnchor>
  <xdr:twoCellAnchor>
    <xdr:from>
      <xdr:col>47</xdr:col>
      <xdr:colOff>650875</xdr:colOff>
      <xdr:row>4</xdr:row>
      <xdr:rowOff>47625</xdr:rowOff>
    </xdr:from>
    <xdr:to>
      <xdr:col>54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6464875" y="809625"/>
          <a:ext cx="5175250" cy="101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6</xdr:col>
      <xdr:colOff>109220</xdr:colOff>
      <xdr:row>30</xdr:row>
      <xdr:rowOff>43180</xdr:rowOff>
    </xdr:from>
    <xdr:to>
      <xdr:col>10</xdr:col>
      <xdr:colOff>152400</xdr:colOff>
      <xdr:row>35</xdr:row>
      <xdr:rowOff>160020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681220" y="5758180"/>
          <a:ext cx="3091180" cy="10693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0.2mol/L</a:t>
          </a:r>
        </a:p>
        <a:p>
          <a:r>
            <a:rPr lang="de-DE" sz="1100"/>
            <a:t>-Volume = 15L</a:t>
          </a:r>
        </a:p>
        <a:p>
          <a:r>
            <a:rPr lang="de-DE" sz="1100"/>
            <a:t>-Ec: 4.8 </a:t>
          </a:r>
          <a:r>
            <a:rPr lang="el-GR" sz="1100"/>
            <a:t>μS</a:t>
          </a:r>
          <a:r>
            <a:rPr lang="en-US" sz="1100"/>
            <a:t>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  -Hydraulic Pressure=  ±20Bar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18</xdr:col>
      <xdr:colOff>83820</xdr:colOff>
      <xdr:row>26</xdr:row>
      <xdr:rowOff>93980</xdr:rowOff>
    </xdr:from>
    <xdr:to>
      <xdr:col>25</xdr:col>
      <xdr:colOff>215900</xdr:colOff>
      <xdr:row>35</xdr:row>
      <xdr:rowOff>53340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3799820" y="5046980"/>
          <a:ext cx="5466080" cy="1673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                                    SPECIFICATIONS</a:t>
          </a:r>
        </a:p>
        <a:p>
          <a:r>
            <a:rPr lang="de-DE" sz="1100"/>
            <a:t>-Fouling E. coli                                                                       -modified membrane 0.2 mol/L</a:t>
          </a:r>
        </a:p>
        <a:p>
          <a:r>
            <a:rPr lang="de-DE" sz="1100"/>
            <a:t>-Volume = 2L</a:t>
          </a:r>
          <a:r>
            <a:rPr lang="de-DE" sz="1100" baseline="0"/>
            <a:t> broth Nutrient</a:t>
          </a:r>
          <a:r>
            <a:rPr lang="de-DE" sz="1100"/>
            <a:t> +250mL E.coli Broth         -Pressure=  ±15Bar </a:t>
          </a:r>
        </a:p>
        <a:p>
          <a:r>
            <a:rPr lang="de-DE" sz="1100"/>
            <a:t>-Temp 21,8°C </a:t>
          </a:r>
        </a:p>
        <a:p>
          <a:r>
            <a:rPr lang="de-DE" sz="1100"/>
            <a:t>-EC: 5,12</a:t>
          </a:r>
          <a:r>
            <a:rPr lang="de-DE" sz="1100" baseline="0"/>
            <a:t> mS             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151,0</a:t>
          </a:r>
          <a:r>
            <a:rPr lang="de-DE" sz="1100" baseline="0"/>
            <a:t> </a:t>
          </a:r>
          <a:r>
            <a:rPr lang="de-DE" sz="1100"/>
            <a:t>NTU (Permeate turbidity:30,97</a:t>
          </a:r>
          <a:r>
            <a:rPr lang="de-DE" sz="1100" baseline="0"/>
            <a:t> </a:t>
          </a:r>
          <a:r>
            <a:rPr lang="de-DE" sz="1100"/>
            <a:t>NTU)</a:t>
          </a:r>
        </a:p>
        <a:p>
          <a:r>
            <a:rPr lang="de-DE" sz="1100"/>
            <a:t>-pH: 6,52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609600</xdr:colOff>
      <xdr:row>28</xdr:row>
      <xdr:rowOff>40640</xdr:rowOff>
    </xdr:from>
    <xdr:to>
      <xdr:col>54</xdr:col>
      <xdr:colOff>447040</xdr:colOff>
      <xdr:row>33</xdr:row>
      <xdr:rowOff>60960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36423600" y="5374640"/>
          <a:ext cx="5171440" cy="972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0.2mol/L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7.4 μS                                                          </a:t>
          </a:r>
        </a:p>
        <a:p>
          <a:endParaRPr lang="de-DE" sz="1100"/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6</xdr:col>
      <xdr:colOff>71120</xdr:colOff>
      <xdr:row>54</xdr:row>
      <xdr:rowOff>111760</xdr:rowOff>
    </xdr:from>
    <xdr:to>
      <xdr:col>10</xdr:col>
      <xdr:colOff>241300</xdr:colOff>
      <xdr:row>60</xdr:row>
      <xdr:rowOff>172720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4643120" y="10398760"/>
          <a:ext cx="3218180" cy="1203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18</xdr:col>
      <xdr:colOff>88900</xdr:colOff>
      <xdr:row>51</xdr:row>
      <xdr:rowOff>121920</xdr:rowOff>
    </xdr:from>
    <xdr:to>
      <xdr:col>25</xdr:col>
      <xdr:colOff>292100</xdr:colOff>
      <xdr:row>58</xdr:row>
      <xdr:rowOff>142240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3804900" y="9837420"/>
          <a:ext cx="5537200" cy="1353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                  SPECIFICATIONS</a:t>
          </a:r>
        </a:p>
        <a:p>
          <a:r>
            <a:rPr lang="de-DE" sz="1100"/>
            <a:t>-Fouling E. coli                                                           -modified membrane 0.4 mol/L</a:t>
          </a:r>
        </a:p>
        <a:p>
          <a:r>
            <a:rPr lang="de-DE" sz="1100"/>
            <a:t>-Volume = 2L broth + 4*250mL E.coli Broth              -Pressure=  ±15Bar </a:t>
          </a:r>
        </a:p>
        <a:p>
          <a:r>
            <a:rPr lang="de-DE" sz="1100"/>
            <a:t>-Temp 23,3°C </a:t>
          </a:r>
        </a:p>
        <a:p>
          <a:r>
            <a:rPr lang="de-DE" sz="1100"/>
            <a:t>-EC: 12,45</a:t>
          </a:r>
          <a:r>
            <a:rPr lang="de-DE" sz="1100" baseline="0"/>
            <a:t> mS</a:t>
          </a:r>
          <a:r>
            <a:rPr lang="de-DE" sz="1100"/>
            <a:t>                                                            -Hydraulic Pressure=  ±20Bar</a:t>
          </a:r>
        </a:p>
        <a:p>
          <a:r>
            <a:rPr lang="de-DE" sz="1100"/>
            <a:t>-Turbidity: 345 NTU (Permeate turbidity:</a:t>
          </a:r>
          <a:r>
            <a:rPr lang="de-DE" sz="1100" baseline="0"/>
            <a:t> 6,33</a:t>
          </a:r>
          <a:r>
            <a:rPr lang="de-DE" sz="1100"/>
            <a:t> NTU)</a:t>
          </a:r>
        </a:p>
        <a:p>
          <a:r>
            <a:rPr lang="de-DE" sz="1100"/>
            <a:t>-pH: 6,95                                  </a:t>
          </a:r>
        </a:p>
      </xdr:txBody>
    </xdr:sp>
    <xdr:clientData/>
  </xdr:twoCellAnchor>
  <xdr:twoCellAnchor>
    <xdr:from>
      <xdr:col>47</xdr:col>
      <xdr:colOff>609600</xdr:colOff>
      <xdr:row>55</xdr:row>
      <xdr:rowOff>111760</xdr:rowOff>
    </xdr:from>
    <xdr:to>
      <xdr:col>53</xdr:col>
      <xdr:colOff>172720</xdr:colOff>
      <xdr:row>61</xdr:row>
      <xdr:rowOff>91440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6423600" y="10589260"/>
          <a:ext cx="4135120" cy="112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6.8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5</xdr:col>
      <xdr:colOff>274320</xdr:colOff>
      <xdr:row>81</xdr:row>
      <xdr:rowOff>50800</xdr:rowOff>
    </xdr:from>
    <xdr:to>
      <xdr:col>11</xdr:col>
      <xdr:colOff>132080</xdr:colOff>
      <xdr:row>87</xdr:row>
      <xdr:rowOff>10160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4084320" y="15481300"/>
          <a:ext cx="4429760" cy="11023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0.6</a:t>
          </a:r>
          <a:r>
            <a:rPr lang="de-DE" sz="1100" baseline="0"/>
            <a:t> </a:t>
          </a:r>
          <a:r>
            <a:rPr lang="de-DE" sz="1100"/>
            <a:t>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18</xdr:col>
      <xdr:colOff>81280</xdr:colOff>
      <xdr:row>78</xdr:row>
      <xdr:rowOff>96520</xdr:rowOff>
    </xdr:from>
    <xdr:to>
      <xdr:col>25</xdr:col>
      <xdr:colOff>266700</xdr:colOff>
      <xdr:row>85</xdr:row>
      <xdr:rowOff>106680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13797280" y="14955520"/>
          <a:ext cx="5519420" cy="1343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                       SPECIFICATIONS</a:t>
          </a:r>
        </a:p>
        <a:p>
          <a:r>
            <a:rPr lang="de-DE" sz="1100"/>
            <a:t>-Fouling E. coli                                                                 -modified membrane 0.6 mol/L</a:t>
          </a:r>
        </a:p>
        <a:p>
          <a:r>
            <a:rPr lang="de-DE" sz="1100"/>
            <a:t>-Volume = 2L broth + 4*250mL E.coli Broth              -Pressure=  ±15Bar </a:t>
          </a:r>
        </a:p>
        <a:p>
          <a:r>
            <a:rPr lang="de-DE" sz="1100"/>
            <a:t>-Temp 23.9°C </a:t>
          </a:r>
        </a:p>
        <a:p>
          <a:r>
            <a:rPr lang="de-DE" sz="1100"/>
            <a:t>-EC: 12,3</a:t>
          </a:r>
          <a:r>
            <a:rPr lang="de-DE" sz="1100" baseline="0"/>
            <a:t> m</a:t>
          </a:r>
          <a:r>
            <a:rPr lang="de-DE" sz="1100"/>
            <a:t>S                                                                   -Hydraulic Pressure=  ±20Bar</a:t>
          </a:r>
        </a:p>
        <a:p>
          <a:r>
            <a:rPr lang="de-DE" sz="1100"/>
            <a:t>-Turbidity: 339 NTU (Permeate turbidity:</a:t>
          </a:r>
          <a:r>
            <a:rPr lang="de-DE" sz="1100" baseline="0"/>
            <a:t> 6,01 </a:t>
          </a:r>
          <a:r>
            <a:rPr lang="de-DE" sz="1100"/>
            <a:t>NTU)</a:t>
          </a:r>
        </a:p>
        <a:p>
          <a:r>
            <a:rPr lang="de-DE" sz="1100"/>
            <a:t>-pH: 8,2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640080</xdr:colOff>
      <xdr:row>79</xdr:row>
      <xdr:rowOff>81280</xdr:rowOff>
    </xdr:from>
    <xdr:to>
      <xdr:col>53</xdr:col>
      <xdr:colOff>111760</xdr:colOff>
      <xdr:row>85</xdr:row>
      <xdr:rowOff>132080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36454080" y="15130780"/>
          <a:ext cx="4043680" cy="1193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     -modified membrane 0.6mol/L</a:t>
          </a:r>
        </a:p>
        <a:p>
          <a:r>
            <a:rPr lang="de-DE" sz="1100"/>
            <a:t>-Volume = 15L 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7.2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</xdr:col>
      <xdr:colOff>406400</xdr:colOff>
      <xdr:row>105</xdr:row>
      <xdr:rowOff>12700</xdr:rowOff>
    </xdr:from>
    <xdr:to>
      <xdr:col>11</xdr:col>
      <xdr:colOff>152400</xdr:colOff>
      <xdr:row>110</xdr:row>
      <xdr:rowOff>114300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4216400" y="20015200"/>
          <a:ext cx="4318000" cy="1054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0.8 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23.3°C                                                -Hydraulic Pressure=  ±20Bar</a:t>
          </a:r>
        </a:p>
        <a:p>
          <a:r>
            <a:rPr lang="de-DE" sz="1100"/>
            <a:t>-Ec: 5.1 μS                        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18</xdr:col>
      <xdr:colOff>114300</xdr:colOff>
      <xdr:row>105</xdr:row>
      <xdr:rowOff>25400</xdr:rowOff>
    </xdr:from>
    <xdr:to>
      <xdr:col>25</xdr:col>
      <xdr:colOff>266700</xdr:colOff>
      <xdr:row>112</xdr:row>
      <xdr:rowOff>114300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13830300" y="20027900"/>
          <a:ext cx="5486400" cy="1422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     SPECIFICATIONS</a:t>
          </a:r>
        </a:p>
        <a:p>
          <a:r>
            <a:rPr lang="de-DE" sz="1100"/>
            <a:t>-Fouling E. coli                                                 -modified membrane 0.8 mol/L</a:t>
          </a:r>
        </a:p>
        <a:p>
          <a:r>
            <a:rPr lang="de-DE" sz="1100"/>
            <a:t>-Volume = 2L + 4*250mL E.coli Broth         -Pressure=  ±15Bar </a:t>
          </a:r>
        </a:p>
        <a:p>
          <a:r>
            <a:rPr lang="de-DE" sz="1100"/>
            <a:t>-Temp 23.1°C </a:t>
          </a:r>
        </a:p>
        <a:p>
          <a:r>
            <a:rPr lang="de-DE" sz="1100"/>
            <a:t>-EC: 13.1</a:t>
          </a:r>
          <a:r>
            <a:rPr lang="de-DE" sz="1100" baseline="0"/>
            <a:t> m</a:t>
          </a:r>
          <a:r>
            <a:rPr lang="de-DE" sz="1100"/>
            <a:t>S                                                    -Hydraulic Pressure=  ±20Bar</a:t>
          </a:r>
        </a:p>
        <a:p>
          <a:r>
            <a:rPr lang="de-DE" sz="1100"/>
            <a:t>-Turbidity: 380 NTU (Permeate turbidity:</a:t>
          </a:r>
          <a:r>
            <a:rPr lang="de-DE" sz="1100" baseline="0"/>
            <a:t> 8.18</a:t>
          </a:r>
          <a:r>
            <a:rPr lang="de-DE" sz="1100"/>
            <a:t> NTU)</a:t>
          </a:r>
        </a:p>
        <a:p>
          <a:r>
            <a:rPr lang="de-DE" sz="1100"/>
            <a:t>-pH: 7.98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47</xdr:col>
      <xdr:colOff>711200</xdr:colOff>
      <xdr:row>106</xdr:row>
      <xdr:rowOff>101600</xdr:rowOff>
    </xdr:from>
    <xdr:to>
      <xdr:col>53</xdr:col>
      <xdr:colOff>190500</xdr:colOff>
      <xdr:row>113</xdr:row>
      <xdr:rowOff>12700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36525200" y="20294600"/>
          <a:ext cx="4051300" cy="1244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-modified membrane 0.8mol/L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6.2 μS                                                          </a:t>
          </a:r>
        </a:p>
        <a:p>
          <a:endParaRPr lang="de-DE" sz="1100"/>
        </a:p>
        <a:p>
          <a:endParaRPr lang="en-US" sz="1100"/>
        </a:p>
      </xdr:txBody>
    </xdr:sp>
    <xdr:clientData/>
  </xdr:twoCellAnchor>
  <xdr:twoCellAnchor>
    <xdr:from>
      <xdr:col>37</xdr:col>
      <xdr:colOff>469900</xdr:colOff>
      <xdr:row>4</xdr:row>
      <xdr:rowOff>152400</xdr:rowOff>
    </xdr:from>
    <xdr:to>
      <xdr:col>43</xdr:col>
      <xdr:colOff>368300</xdr:colOff>
      <xdr:row>23</xdr:row>
      <xdr:rowOff>25400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406400</xdr:colOff>
      <xdr:row>32</xdr:row>
      <xdr:rowOff>0</xdr:rowOff>
    </xdr:from>
    <xdr:to>
      <xdr:col>43</xdr:col>
      <xdr:colOff>304800</xdr:colOff>
      <xdr:row>50</xdr:row>
      <xdr:rowOff>50800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343693</xdr:colOff>
      <xdr:row>56</xdr:row>
      <xdr:rowOff>167481</xdr:rowOff>
    </xdr:from>
    <xdr:to>
      <xdr:col>43</xdr:col>
      <xdr:colOff>242093</xdr:colOff>
      <xdr:row>76</xdr:row>
      <xdr:rowOff>27781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482600</xdr:colOff>
      <xdr:row>86</xdr:row>
      <xdr:rowOff>30163</xdr:rowOff>
    </xdr:from>
    <xdr:to>
      <xdr:col>43</xdr:col>
      <xdr:colOff>324556</xdr:colOff>
      <xdr:row>106</xdr:row>
      <xdr:rowOff>69674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520700</xdr:colOff>
      <xdr:row>110</xdr:row>
      <xdr:rowOff>127000</xdr:rowOff>
    </xdr:from>
    <xdr:to>
      <xdr:col>43</xdr:col>
      <xdr:colOff>419100</xdr:colOff>
      <xdr:row>129</xdr:row>
      <xdr:rowOff>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555625</xdr:colOff>
      <xdr:row>142</xdr:row>
      <xdr:rowOff>85725</xdr:rowOff>
    </xdr:from>
    <xdr:to>
      <xdr:col>29</xdr:col>
      <xdr:colOff>542925</xdr:colOff>
      <xdr:row>164</xdr:row>
      <xdr:rowOff>92076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e%20Kaylis\Downloads\RO%20RESULTS%20%20Pure%20water%20and%20Salt%20Rejection%20+%20Normalized%20November%209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ified membranes"/>
      <sheetName val="normalized flux"/>
    </sheetNames>
    <sheetDataSet>
      <sheetData sheetId="0">
        <row r="7">
          <cell r="AO7" t="str">
            <v>Initial Pure Water Flux B</v>
          </cell>
          <cell r="AP7" t="str">
            <v>Salt Rejection B</v>
          </cell>
        </row>
        <row r="8">
          <cell r="AP8"/>
        </row>
        <row r="9">
          <cell r="AP9"/>
        </row>
        <row r="10">
          <cell r="AP10"/>
        </row>
        <row r="11">
          <cell r="AP11"/>
        </row>
        <row r="12">
          <cell r="AP12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CE62-9B02-4E62-9496-C8D2F0643FAE}">
  <dimension ref="D2:AW107"/>
  <sheetViews>
    <sheetView topLeftCell="AF7" zoomScale="70" zoomScaleNormal="70" workbookViewId="0">
      <selection activeCell="AO15" sqref="AO15"/>
    </sheetView>
  </sheetViews>
  <sheetFormatPr defaultRowHeight="15" x14ac:dyDescent="0.25"/>
  <cols>
    <col min="4" max="4" width="13" customWidth="1"/>
    <col min="5" max="5" width="23.7109375" customWidth="1"/>
    <col min="6" max="6" width="20.28515625" customWidth="1"/>
    <col min="7" max="7" width="17.5703125" customWidth="1"/>
    <col min="8" max="8" width="23.42578125" customWidth="1"/>
    <col min="9" max="9" width="17.85546875" customWidth="1"/>
    <col min="10" max="10" width="17.5703125" customWidth="1"/>
    <col min="11" max="11" width="19.42578125" customWidth="1"/>
    <col min="13" max="13" width="13.85546875" customWidth="1"/>
    <col min="17" max="17" width="13.140625" customWidth="1"/>
    <col min="18" max="18" width="9.28515625" customWidth="1"/>
    <col min="19" max="19" width="11" customWidth="1"/>
    <col min="20" max="20" width="11.42578125" customWidth="1"/>
    <col min="22" max="22" width="10.7109375" customWidth="1"/>
    <col min="24" max="24" width="11.42578125" customWidth="1"/>
    <col min="25" max="25" width="12" customWidth="1"/>
    <col min="26" max="26" width="14.85546875" customWidth="1"/>
    <col min="27" max="27" width="23.7109375" customWidth="1"/>
    <col min="28" max="28" width="23.140625" customWidth="1"/>
    <col min="29" max="29" width="13" customWidth="1"/>
    <col min="30" max="30" width="18.5703125" customWidth="1"/>
    <col min="31" max="31" width="17.28515625" customWidth="1"/>
    <col min="32" max="32" width="28.42578125" customWidth="1"/>
    <col min="40" max="40" width="15.42578125" customWidth="1"/>
    <col min="41" max="41" width="27.28515625" customWidth="1"/>
    <col min="42" max="42" width="27.5703125" customWidth="1"/>
    <col min="43" max="43" width="26.140625" customWidth="1"/>
    <col min="44" max="44" width="18" customWidth="1"/>
    <col min="45" max="45" width="15.28515625" customWidth="1"/>
    <col min="48" max="48" width="14.85546875" customWidth="1"/>
    <col min="49" max="49" width="31.28515625" customWidth="1"/>
  </cols>
  <sheetData>
    <row r="2" spans="4:49" x14ac:dyDescent="0.25">
      <c r="K2" s="29" t="s">
        <v>46</v>
      </c>
      <c r="M2" s="10" t="s">
        <v>18</v>
      </c>
    </row>
    <row r="3" spans="4:49" x14ac:dyDescent="0.25">
      <c r="K3" s="23">
        <f>15</f>
        <v>15</v>
      </c>
      <c r="M3" s="11">
        <f>14.5</f>
        <v>14.5</v>
      </c>
      <c r="AO3" s="27" t="s">
        <v>41</v>
      </c>
      <c r="AP3" s="27"/>
      <c r="AQ3" s="27"/>
    </row>
    <row r="4" spans="4:49" x14ac:dyDescent="0.25">
      <c r="M4" s="11">
        <v>9.5</v>
      </c>
    </row>
    <row r="5" spans="4:49" x14ac:dyDescent="0.25">
      <c r="M5" s="11">
        <f>M3*M4</f>
        <v>137.75</v>
      </c>
    </row>
    <row r="6" spans="4:49" x14ac:dyDescent="0.25">
      <c r="M6" s="12">
        <f>M5*10^-4</f>
        <v>1.3775000000000001E-2</v>
      </c>
    </row>
    <row r="7" spans="4:49" x14ac:dyDescent="0.25">
      <c r="AO7" s="1" t="s">
        <v>40</v>
      </c>
      <c r="AP7" s="1" t="s">
        <v>39</v>
      </c>
      <c r="AQ7" s="1" t="s">
        <v>38</v>
      </c>
      <c r="AR7" s="1" t="s">
        <v>37</v>
      </c>
      <c r="AS7" s="1" t="s">
        <v>44</v>
      </c>
      <c r="AW7" s="1" t="s">
        <v>45</v>
      </c>
    </row>
    <row r="8" spans="4:49" x14ac:dyDescent="0.25">
      <c r="AN8" s="1" t="s">
        <v>26</v>
      </c>
      <c r="AO8">
        <f>J105</f>
        <v>108.89292196007258</v>
      </c>
      <c r="AQ8" s="18"/>
      <c r="AR8" s="18">
        <f>AF107</f>
        <v>0.75667662758018173</v>
      </c>
      <c r="AS8">
        <f>K105</f>
        <v>7.2595281306715052</v>
      </c>
      <c r="AV8" s="1" t="s">
        <v>26</v>
      </c>
      <c r="AW8" s="28">
        <f>AS8</f>
        <v>7.2595281306715052</v>
      </c>
    </row>
    <row r="9" spans="4:49" x14ac:dyDescent="0.25">
      <c r="AN9" s="1" t="s">
        <v>27</v>
      </c>
      <c r="AO9">
        <f>J21</f>
        <v>142.86751361161521</v>
      </c>
      <c r="AQ9" s="18"/>
      <c r="AR9" s="18">
        <f>AF23</f>
        <v>0.80985332019220824</v>
      </c>
      <c r="AS9">
        <f>K21</f>
        <v>9.5245009074410163</v>
      </c>
      <c r="AV9" s="1" t="s">
        <v>27</v>
      </c>
      <c r="AW9" s="28">
        <f>AS9</f>
        <v>9.5245009074410163</v>
      </c>
    </row>
    <row r="10" spans="4:49" x14ac:dyDescent="0.25">
      <c r="AN10" s="1" t="s">
        <v>28</v>
      </c>
      <c r="AO10">
        <f>J41</f>
        <v>142.6739261947973</v>
      </c>
      <c r="AQ10" s="18"/>
      <c r="AR10" s="18">
        <f>AF43</f>
        <v>0.81621854820305284</v>
      </c>
      <c r="AS10">
        <f>K41</f>
        <v>9.5115950796531532</v>
      </c>
      <c r="AV10" s="1" t="s">
        <v>28</v>
      </c>
      <c r="AW10" s="28">
        <f>AS10</f>
        <v>9.5115950796531532</v>
      </c>
    </row>
    <row r="11" spans="4:49" x14ac:dyDescent="0.25">
      <c r="D11" s="1" t="s">
        <v>0</v>
      </c>
      <c r="E11" s="1" t="s">
        <v>1</v>
      </c>
      <c r="F11" s="1" t="s">
        <v>2</v>
      </c>
      <c r="G11" s="13" t="s">
        <v>3</v>
      </c>
      <c r="H11" s="13" t="s">
        <v>15</v>
      </c>
      <c r="I11" s="13" t="s">
        <v>16</v>
      </c>
      <c r="J11" s="13" t="s">
        <v>17</v>
      </c>
      <c r="K11" s="13" t="s">
        <v>44</v>
      </c>
      <c r="R11" s="1" t="s">
        <v>4</v>
      </c>
      <c r="S11" s="1"/>
      <c r="T11" s="1"/>
      <c r="U11" s="1" t="s">
        <v>5</v>
      </c>
      <c r="V11" s="1"/>
      <c r="W11" s="1" t="s">
        <v>6</v>
      </c>
      <c r="X11" s="1"/>
      <c r="AN11" s="1" t="s">
        <v>29</v>
      </c>
      <c r="AO11">
        <f>J61</f>
        <v>137.64065335753173</v>
      </c>
      <c r="AQ11" s="18"/>
      <c r="AR11" s="18">
        <f>AF63</f>
        <v>0.80805658657853063</v>
      </c>
      <c r="AS11">
        <f>K61</f>
        <v>9.1760435571687839</v>
      </c>
      <c r="AV11" s="1" t="s">
        <v>29</v>
      </c>
      <c r="AW11" s="28">
        <f>AS11</f>
        <v>9.1760435571687839</v>
      </c>
    </row>
    <row r="12" spans="4:49" x14ac:dyDescent="0.25">
      <c r="D12">
        <v>0</v>
      </c>
      <c r="E12">
        <f>15</f>
        <v>15</v>
      </c>
      <c r="F12">
        <f>8.1</f>
        <v>8.1</v>
      </c>
      <c r="G12">
        <f>F12*10^-3</f>
        <v>8.0999999999999996E-3</v>
      </c>
      <c r="H12">
        <f>E12/3600</f>
        <v>4.1666666666666666E-3</v>
      </c>
      <c r="I12">
        <f>G12/H12</f>
        <v>1.944</v>
      </c>
      <c r="J12">
        <f>G12/(H12*$M$6)</f>
        <v>141.12522686025406</v>
      </c>
      <c r="K12">
        <f>J12/$K$3</f>
        <v>9.4083484573502698</v>
      </c>
      <c r="Q12" s="1" t="s">
        <v>0</v>
      </c>
      <c r="R12" s="1" t="s">
        <v>7</v>
      </c>
      <c r="S12" s="1" t="s">
        <v>8</v>
      </c>
      <c r="T12" s="1" t="s">
        <v>9</v>
      </c>
      <c r="U12" s="1" t="s">
        <v>7</v>
      </c>
      <c r="V12" s="1" t="s">
        <v>8</v>
      </c>
      <c r="W12" s="1" t="s">
        <v>7</v>
      </c>
      <c r="X12" s="1" t="s">
        <v>8</v>
      </c>
      <c r="Y12" s="1" t="s">
        <v>9</v>
      </c>
      <c r="Z12" s="1" t="s">
        <v>10</v>
      </c>
      <c r="AA12" s="1" t="s">
        <v>1</v>
      </c>
      <c r="AB12" s="13" t="s">
        <v>15</v>
      </c>
      <c r="AC12" s="13" t="s">
        <v>19</v>
      </c>
      <c r="AD12" s="13" t="s">
        <v>20</v>
      </c>
      <c r="AE12" s="13" t="s">
        <v>21</v>
      </c>
      <c r="AF12" s="13" t="s">
        <v>34</v>
      </c>
      <c r="AN12" s="1" t="s">
        <v>30</v>
      </c>
      <c r="AO12">
        <f>J81</f>
        <v>135.31760435571687</v>
      </c>
      <c r="AQ12" s="18"/>
      <c r="AR12" s="18">
        <f>AF84</f>
        <v>0.8032768220160561</v>
      </c>
      <c r="AS12">
        <f>K41</f>
        <v>9.5115950796531532</v>
      </c>
      <c r="AV12" s="1" t="s">
        <v>30</v>
      </c>
      <c r="AW12" s="28">
        <f>K81</f>
        <v>9.0211736237144553</v>
      </c>
    </row>
    <row r="13" spans="4:49" x14ac:dyDescent="0.25">
      <c r="D13">
        <v>30</v>
      </c>
      <c r="E13">
        <f>15</f>
        <v>15</v>
      </c>
      <c r="F13">
        <f>8</f>
        <v>8</v>
      </c>
      <c r="G13">
        <f>F13*10^-3</f>
        <v>8.0000000000000002E-3</v>
      </c>
      <c r="H13">
        <f>E13/3600</f>
        <v>4.1666666666666666E-3</v>
      </c>
      <c r="I13">
        <f>G13/H13</f>
        <v>1.9200000000000002</v>
      </c>
      <c r="J13">
        <f>G13/(H13*$M$6)</f>
        <v>139.38294010889291</v>
      </c>
      <c r="K13">
        <f>J13/$K$3</f>
        <v>9.2921960072595269</v>
      </c>
      <c r="Q13">
        <v>0</v>
      </c>
      <c r="R13">
        <f>1.016*10^3</f>
        <v>1016</v>
      </c>
      <c r="S13">
        <f>0.649</f>
        <v>0.64900000000000002</v>
      </c>
      <c r="T13">
        <v>17.600000000000001</v>
      </c>
      <c r="U13">
        <f>0.996*10^3</f>
        <v>996</v>
      </c>
      <c r="V13">
        <f>0.648</f>
        <v>0.64800000000000002</v>
      </c>
      <c r="W13">
        <f>191.8</f>
        <v>191.8</v>
      </c>
      <c r="X13">
        <f>0.1631</f>
        <v>0.16309999999999999</v>
      </c>
      <c r="Y13">
        <v>17.7</v>
      </c>
      <c r="Z13">
        <f>8.4</f>
        <v>8.4</v>
      </c>
      <c r="AA13">
        <f>15</f>
        <v>15</v>
      </c>
      <c r="AB13">
        <f>AA13/3600</f>
        <v>4.1666666666666666E-3</v>
      </c>
      <c r="AC13">
        <f>Z13*10^-3</f>
        <v>8.4000000000000012E-3</v>
      </c>
      <c r="AD13">
        <f>AC13/AB13</f>
        <v>2.0160000000000005</v>
      </c>
      <c r="AE13">
        <f>AC13/(AB13*$M$6)</f>
        <v>146.35208711433759</v>
      </c>
      <c r="AF13" s="18">
        <f>(R13-W13)/R13</f>
        <v>0.81122047244094497</v>
      </c>
    </row>
    <row r="14" spans="4:49" x14ac:dyDescent="0.25">
      <c r="D14">
        <v>60</v>
      </c>
      <c r="E14">
        <f>15</f>
        <v>15</v>
      </c>
      <c r="F14">
        <f>8.1</f>
        <v>8.1</v>
      </c>
      <c r="G14">
        <f>F14*10^-3</f>
        <v>8.0999999999999996E-3</v>
      </c>
      <c r="H14">
        <f>E14/3600</f>
        <v>4.1666666666666666E-3</v>
      </c>
      <c r="I14">
        <f>G14/H14</f>
        <v>1.944</v>
      </c>
      <c r="J14">
        <f>G14/(H14*$M$6)</f>
        <v>141.12522686025406</v>
      </c>
      <c r="K14">
        <f>J14/$K$3</f>
        <v>9.4083484573502698</v>
      </c>
      <c r="Q14">
        <v>30</v>
      </c>
      <c r="R14">
        <f>1.075*10^3</f>
        <v>1075</v>
      </c>
      <c r="S14">
        <f>0.71</f>
        <v>0.71</v>
      </c>
      <c r="T14">
        <v>19.600000000000001</v>
      </c>
      <c r="U14">
        <f>1.079*10^3</f>
        <v>1079</v>
      </c>
      <c r="V14">
        <f>0.681</f>
        <v>0.68100000000000005</v>
      </c>
      <c r="W14">
        <f>301</f>
        <v>301</v>
      </c>
      <c r="X14">
        <f>0.1956</f>
        <v>0.1956</v>
      </c>
      <c r="Y14">
        <v>18</v>
      </c>
      <c r="Z14">
        <f>6.8</f>
        <v>6.8</v>
      </c>
      <c r="AA14">
        <f>15</f>
        <v>15</v>
      </c>
      <c r="AB14">
        <f>AA14/3600</f>
        <v>4.1666666666666666E-3</v>
      </c>
      <c r="AC14">
        <f>Z14*10^-3</f>
        <v>6.7999999999999996E-3</v>
      </c>
      <c r="AD14">
        <f>AC14/AB14</f>
        <v>1.6319999999999999</v>
      </c>
      <c r="AE14">
        <f>AC14/(AB14*$M$6)</f>
        <v>118.47549909255896</v>
      </c>
      <c r="AF14" s="18">
        <f>(R14-W14)/R14</f>
        <v>0.72</v>
      </c>
    </row>
    <row r="15" spans="4:49" x14ac:dyDescent="0.25">
      <c r="D15">
        <v>90</v>
      </c>
      <c r="E15">
        <f>15</f>
        <v>15</v>
      </c>
      <c r="F15">
        <f>8.1</f>
        <v>8.1</v>
      </c>
      <c r="G15">
        <f>F15*10^-3</f>
        <v>8.0999999999999996E-3</v>
      </c>
      <c r="H15">
        <f>E15/3600</f>
        <v>4.1666666666666666E-3</v>
      </c>
      <c r="I15">
        <f>G15/H15</f>
        <v>1.944</v>
      </c>
      <c r="J15">
        <f>G15/(H15*$M$6)</f>
        <v>141.12522686025406</v>
      </c>
      <c r="K15">
        <f>J15/$K$3</f>
        <v>9.4083484573502698</v>
      </c>
      <c r="Q15">
        <v>60</v>
      </c>
      <c r="R15">
        <f>1.175*10^3</f>
        <v>1175</v>
      </c>
      <c r="S15">
        <f>0.762</f>
        <v>0.76200000000000001</v>
      </c>
      <c r="T15">
        <v>20.9</v>
      </c>
      <c r="U15">
        <f>1.165*10^3</f>
        <v>1165</v>
      </c>
      <c r="V15">
        <f>0.757</f>
        <v>0.75700000000000001</v>
      </c>
      <c r="W15">
        <f>271.1</f>
        <v>271.10000000000002</v>
      </c>
      <c r="X15">
        <f>0.1753</f>
        <v>0.17530000000000001</v>
      </c>
      <c r="Y15">
        <v>18.399999999999999</v>
      </c>
      <c r="Z15">
        <f>6.4</f>
        <v>6.4</v>
      </c>
      <c r="AA15">
        <f>15</f>
        <v>15</v>
      </c>
      <c r="AB15">
        <f>AA15/3600</f>
        <v>4.1666666666666666E-3</v>
      </c>
      <c r="AC15">
        <f>Z15*10^-3</f>
        <v>6.4000000000000003E-3</v>
      </c>
      <c r="AD15">
        <f>AC15/AB15</f>
        <v>1.536</v>
      </c>
      <c r="AE15">
        <f>AC15/(AB15*$M$6)</f>
        <v>111.50635208711434</v>
      </c>
      <c r="AF15" s="18">
        <f>(R15-W15)/R15</f>
        <v>0.76927659574468088</v>
      </c>
    </row>
    <row r="16" spans="4:49" x14ac:dyDescent="0.25">
      <c r="D16">
        <v>120</v>
      </c>
      <c r="E16">
        <f>15</f>
        <v>15</v>
      </c>
      <c r="F16">
        <f>8.1</f>
        <v>8.1</v>
      </c>
      <c r="G16">
        <f>F16*10^-3</f>
        <v>8.0999999999999996E-3</v>
      </c>
      <c r="H16">
        <f>E16/3600</f>
        <v>4.1666666666666666E-3</v>
      </c>
      <c r="I16">
        <f>G16/H16</f>
        <v>1.944</v>
      </c>
      <c r="J16">
        <f>G16/(H16*$M$6)</f>
        <v>141.12522686025406</v>
      </c>
      <c r="K16">
        <f>J16/$K$3</f>
        <v>9.4083484573502698</v>
      </c>
      <c r="Q16">
        <v>90</v>
      </c>
      <c r="R16">
        <f>1.195*10^3</f>
        <v>1195</v>
      </c>
      <c r="S16">
        <f>0.827</f>
        <v>0.82699999999999996</v>
      </c>
      <c r="T16">
        <v>21.9</v>
      </c>
      <c r="U16">
        <f>1.234*10^3</f>
        <v>1234</v>
      </c>
      <c r="V16">
        <f>0.802</f>
        <v>0.80200000000000005</v>
      </c>
      <c r="W16">
        <f>254.5</f>
        <v>254.5</v>
      </c>
      <c r="X16">
        <f>0.1649</f>
        <v>0.16489999999999999</v>
      </c>
      <c r="Y16">
        <v>18.7</v>
      </c>
      <c r="Z16">
        <f>6.4</f>
        <v>6.4</v>
      </c>
      <c r="AA16">
        <f>15</f>
        <v>15</v>
      </c>
      <c r="AB16">
        <f>AA16/3600</f>
        <v>4.1666666666666666E-3</v>
      </c>
      <c r="AC16">
        <f>Z16*10^-3</f>
        <v>6.4000000000000003E-3</v>
      </c>
      <c r="AD16">
        <f>AC16/AB16</f>
        <v>1.536</v>
      </c>
      <c r="AE16">
        <f>AC16/(AB16*$M$6)</f>
        <v>111.50635208711434</v>
      </c>
      <c r="AF16" s="18">
        <f>(R16-W16)/R16</f>
        <v>0.78702928870292888</v>
      </c>
    </row>
    <row r="17" spans="4:32" x14ac:dyDescent="0.25">
      <c r="D17">
        <v>150</v>
      </c>
      <c r="E17">
        <f>15</f>
        <v>15</v>
      </c>
      <c r="F17">
        <f>8.3</f>
        <v>8.3000000000000007</v>
      </c>
      <c r="G17">
        <f>F17*10^-3</f>
        <v>8.3000000000000001E-3</v>
      </c>
      <c r="H17">
        <f>E17/3600</f>
        <v>4.1666666666666666E-3</v>
      </c>
      <c r="I17">
        <f>G17/H17</f>
        <v>1.992</v>
      </c>
      <c r="J17">
        <f>G17/(H17*$M$6)</f>
        <v>144.60980036297639</v>
      </c>
      <c r="K17">
        <f>J17/$K$3</f>
        <v>9.6406533575317592</v>
      </c>
      <c r="Q17">
        <v>120</v>
      </c>
      <c r="R17">
        <f>1.396*10^3</f>
        <v>1396</v>
      </c>
      <c r="S17">
        <f>0.836</f>
        <v>0.83599999999999997</v>
      </c>
      <c r="T17">
        <v>22.8</v>
      </c>
      <c r="U17">
        <f>1.347*10^3</f>
        <v>1347</v>
      </c>
      <c r="V17">
        <f>0.875</f>
        <v>0.875</v>
      </c>
      <c r="W17">
        <f>255.9</f>
        <v>255.9</v>
      </c>
      <c r="X17">
        <f>0.1707</f>
        <v>0.17069999999999999</v>
      </c>
      <c r="Y17">
        <v>19.2</v>
      </c>
      <c r="Z17">
        <f>6.6</f>
        <v>6.6</v>
      </c>
      <c r="AA17">
        <f>15</f>
        <v>15</v>
      </c>
      <c r="AB17">
        <f>AA17/3600</f>
        <v>4.1666666666666666E-3</v>
      </c>
      <c r="AC17">
        <f>Z17*10^-3</f>
        <v>6.6E-3</v>
      </c>
      <c r="AD17">
        <f>AC17/AB17</f>
        <v>1.5840000000000001</v>
      </c>
      <c r="AE17">
        <f>AC17/(AB17*$M$6)</f>
        <v>114.99092558983665</v>
      </c>
      <c r="AF17" s="18">
        <f>(R17-W17)/R17</f>
        <v>0.81669054441260736</v>
      </c>
    </row>
    <row r="18" spans="4:32" x14ac:dyDescent="0.25">
      <c r="D18">
        <v>180</v>
      </c>
      <c r="E18">
        <f>15</f>
        <v>15</v>
      </c>
      <c r="F18">
        <f>8.2</f>
        <v>8.1999999999999993</v>
      </c>
      <c r="G18">
        <f>F18*10^-3</f>
        <v>8.199999999999999E-3</v>
      </c>
      <c r="H18">
        <f>E18/3600</f>
        <v>4.1666666666666666E-3</v>
      </c>
      <c r="I18">
        <f>G18/H18</f>
        <v>1.9679999999999997</v>
      </c>
      <c r="J18">
        <f>G18/(H18*$M$6)</f>
        <v>142.86751361161521</v>
      </c>
      <c r="K18">
        <f>J18/$K$3</f>
        <v>9.5245009074410145</v>
      </c>
      <c r="Q18">
        <v>150</v>
      </c>
      <c r="R18">
        <f>1.48*10^3</f>
        <v>1480</v>
      </c>
      <c r="S18">
        <f>0.996</f>
        <v>0.996</v>
      </c>
      <c r="T18">
        <v>23.2</v>
      </c>
      <c r="U18">
        <f>1.462*10^3</f>
        <v>1462</v>
      </c>
      <c r="V18">
        <f>0.958</f>
        <v>0.95799999999999996</v>
      </c>
      <c r="W18">
        <f>225.8</f>
        <v>225.8</v>
      </c>
      <c r="X18">
        <f>0.1636</f>
        <v>0.1636</v>
      </c>
      <c r="Y18">
        <v>20</v>
      </c>
      <c r="Z18">
        <f>6.6</f>
        <v>6.6</v>
      </c>
      <c r="AA18">
        <f>15</f>
        <v>15</v>
      </c>
      <c r="AB18">
        <f>AA18/3600</f>
        <v>4.1666666666666666E-3</v>
      </c>
      <c r="AC18">
        <f>Z18*10^-3</f>
        <v>6.6E-3</v>
      </c>
      <c r="AD18">
        <f>AC18/AB18</f>
        <v>1.5840000000000001</v>
      </c>
      <c r="AE18">
        <f>AC18/(AB18*$M$6)</f>
        <v>114.99092558983665</v>
      </c>
      <c r="AF18" s="18">
        <f>(R18-W18)/R18</f>
        <v>0.84743243243243249</v>
      </c>
    </row>
    <row r="19" spans="4:32" x14ac:dyDescent="0.25">
      <c r="D19">
        <v>210</v>
      </c>
      <c r="E19">
        <f>15</f>
        <v>15</v>
      </c>
      <c r="F19">
        <f>8.2</f>
        <v>8.1999999999999993</v>
      </c>
      <c r="G19">
        <f>F19*10^-3</f>
        <v>8.199999999999999E-3</v>
      </c>
      <c r="H19">
        <f>E19/3600</f>
        <v>4.1666666666666666E-3</v>
      </c>
      <c r="I19">
        <f>G19/H19</f>
        <v>1.9679999999999997</v>
      </c>
      <c r="J19">
        <f>G19/(H19*$M$6)</f>
        <v>142.86751361161521</v>
      </c>
      <c r="K19">
        <f>J19/$K$3</f>
        <v>9.5245009074410145</v>
      </c>
      <c r="Q19">
        <v>180</v>
      </c>
      <c r="R19">
        <f>1.699*10^3</f>
        <v>1699</v>
      </c>
      <c r="S19">
        <f>0.896</f>
        <v>0.89600000000000002</v>
      </c>
      <c r="T19">
        <v>23.7</v>
      </c>
      <c r="U19">
        <f>1.69*10^3</f>
        <v>1690</v>
      </c>
      <c r="V19">
        <f>1.098</f>
        <v>1.0980000000000001</v>
      </c>
      <c r="W19">
        <f>270.9</f>
        <v>270.89999999999998</v>
      </c>
      <c r="X19">
        <f>0.1757</f>
        <v>0.1757</v>
      </c>
      <c r="Y19">
        <v>20.3</v>
      </c>
      <c r="Z19">
        <f>6.4</f>
        <v>6.4</v>
      </c>
      <c r="AA19">
        <f>15</f>
        <v>15</v>
      </c>
      <c r="AB19">
        <f>AA19/3600</f>
        <v>4.1666666666666666E-3</v>
      </c>
      <c r="AC19">
        <f>Z19*10^-3</f>
        <v>6.4000000000000003E-3</v>
      </c>
      <c r="AD19">
        <f>AC19/AB19</f>
        <v>1.536</v>
      </c>
      <c r="AE19">
        <f>AC19/(AB19*$M$6)</f>
        <v>111.50635208711434</v>
      </c>
      <c r="AF19" s="18">
        <f>(R19-W19)/R19</f>
        <v>0.8405532666274278</v>
      </c>
    </row>
    <row r="20" spans="4:32" x14ac:dyDescent="0.25">
      <c r="D20">
        <v>240</v>
      </c>
      <c r="E20">
        <f>15</f>
        <v>15</v>
      </c>
      <c r="F20">
        <f>8.7</f>
        <v>8.6999999999999993</v>
      </c>
      <c r="G20">
        <f>F20*10^-3</f>
        <v>8.6999999999999994E-3</v>
      </c>
      <c r="H20">
        <f>E20/3600</f>
        <v>4.1666666666666666E-3</v>
      </c>
      <c r="I20">
        <f>G20/H20</f>
        <v>2.0880000000000001</v>
      </c>
      <c r="J20">
        <f>G20/(H20*$M$6)</f>
        <v>151.57894736842104</v>
      </c>
      <c r="K20">
        <f>J20/$K$3</f>
        <v>10.105263157894736</v>
      </c>
      <c r="Q20">
        <v>210</v>
      </c>
      <c r="R20">
        <f>1.902*10^3</f>
        <v>1902</v>
      </c>
      <c r="S20">
        <f>1.238</f>
        <v>1.238</v>
      </c>
      <c r="T20">
        <v>23.8</v>
      </c>
      <c r="U20">
        <f>1.934*10^3</f>
        <v>1934</v>
      </c>
      <c r="V20">
        <f>1.1258</f>
        <v>1.1257999999999999</v>
      </c>
      <c r="W20">
        <f>265.2</f>
        <v>265.2</v>
      </c>
      <c r="X20">
        <f>0.1737</f>
        <v>0.17369999999999999</v>
      </c>
      <c r="Y20">
        <v>20.399999999999999</v>
      </c>
      <c r="Z20">
        <v>6</v>
      </c>
      <c r="AA20">
        <f>15</f>
        <v>15</v>
      </c>
      <c r="AB20">
        <f>AA20/3600</f>
        <v>4.1666666666666666E-3</v>
      </c>
      <c r="AC20">
        <f>Z20*10^-3</f>
        <v>6.0000000000000001E-3</v>
      </c>
      <c r="AD20">
        <f>AC20/AB20</f>
        <v>1.44</v>
      </c>
      <c r="AE20">
        <f>AC20/(AB20*$M$6)</f>
        <v>104.53720508166968</v>
      </c>
      <c r="AF20" s="18">
        <f>(R20-W20)/R20</f>
        <v>0.86056782334384851</v>
      </c>
    </row>
    <row r="21" spans="4:32" x14ac:dyDescent="0.25">
      <c r="J21" s="1">
        <f>AVERAGE(J12:J20)</f>
        <v>142.86751361161521</v>
      </c>
      <c r="K21" s="1">
        <f>AVERAGE(K12:K20)</f>
        <v>9.5245009074410163</v>
      </c>
      <c r="Q21">
        <v>240</v>
      </c>
      <c r="R21">
        <f>1.353*10^3</f>
        <v>1353</v>
      </c>
      <c r="S21">
        <f>0.888</f>
        <v>0.88800000000000001</v>
      </c>
      <c r="T21">
        <v>25.1</v>
      </c>
      <c r="U21">
        <f>2.192*10^3</f>
        <v>2192</v>
      </c>
      <c r="V21">
        <f>1.1422</f>
        <v>1.1422000000000001</v>
      </c>
      <c r="W21">
        <f>252.2</f>
        <v>252.2</v>
      </c>
      <c r="X21">
        <f>0.1811</f>
        <v>0.18110000000000001</v>
      </c>
      <c r="Y21">
        <v>20.5</v>
      </c>
      <c r="Z21">
        <v>6</v>
      </c>
      <c r="AA21">
        <f>15</f>
        <v>15</v>
      </c>
      <c r="AB21">
        <f>AA21/3600</f>
        <v>4.1666666666666666E-3</v>
      </c>
      <c r="AC21">
        <f>Z21*10^-3</f>
        <v>6.0000000000000001E-3</v>
      </c>
      <c r="AD21">
        <f>AC21/AB21</f>
        <v>1.44</v>
      </c>
      <c r="AE21">
        <f>AC21/(AB21*$M$6)</f>
        <v>104.53720508166968</v>
      </c>
      <c r="AF21" s="18">
        <f>(R21-W21)/R21</f>
        <v>0.81359940872135994</v>
      </c>
    </row>
    <row r="22" spans="4:32" x14ac:dyDescent="0.25">
      <c r="Q22">
        <v>270</v>
      </c>
      <c r="R22">
        <f>1.567*10^3</f>
        <v>1567</v>
      </c>
      <c r="S22">
        <f>0.88</f>
        <v>0.88</v>
      </c>
      <c r="T22">
        <v>25.5</v>
      </c>
      <c r="U22">
        <f>2.599*10^3</f>
        <v>2599</v>
      </c>
      <c r="V22">
        <f>1.681</f>
        <v>1.681</v>
      </c>
      <c r="W22">
        <f>263</f>
        <v>263</v>
      </c>
      <c r="X22">
        <f>0.1828</f>
        <v>0.18279999999999999</v>
      </c>
      <c r="Y22">
        <v>20.6</v>
      </c>
      <c r="Z22">
        <v>6</v>
      </c>
      <c r="AA22">
        <f>15</f>
        <v>15</v>
      </c>
      <c r="AB22">
        <f>AA22/3600</f>
        <v>4.1666666666666666E-3</v>
      </c>
      <c r="AC22">
        <f>Z22*10^-3</f>
        <v>6.0000000000000001E-3</v>
      </c>
      <c r="AD22">
        <f>AC22/AB22</f>
        <v>1.44</v>
      </c>
      <c r="AE22">
        <f>AC22/(AB22*$M$6)</f>
        <v>104.53720508166968</v>
      </c>
      <c r="AF22" s="18">
        <f>(R22-W22)/R22</f>
        <v>0.8321633694958519</v>
      </c>
    </row>
    <row r="23" spans="4:32" x14ac:dyDescent="0.25">
      <c r="AE23" s="1">
        <f>AVERAGE(AE13:AE22)</f>
        <v>114.29401088929221</v>
      </c>
      <c r="AF23" s="19">
        <f>AVERAGE(AF13:AF22)</f>
        <v>0.80985332019220824</v>
      </c>
    </row>
    <row r="31" spans="4:32" x14ac:dyDescent="0.25">
      <c r="D31" s="1" t="s">
        <v>0</v>
      </c>
      <c r="E31" s="1" t="s">
        <v>1</v>
      </c>
      <c r="F31" s="1" t="s">
        <v>2</v>
      </c>
      <c r="G31" s="13" t="s">
        <v>3</v>
      </c>
      <c r="H31" s="13" t="s">
        <v>15</v>
      </c>
      <c r="I31" s="13" t="s">
        <v>16</v>
      </c>
      <c r="J31" s="13" t="s">
        <v>17</v>
      </c>
      <c r="K31" s="13" t="s">
        <v>44</v>
      </c>
      <c r="R31" s="1" t="s">
        <v>4</v>
      </c>
      <c r="S31" s="1"/>
      <c r="T31" s="1"/>
      <c r="U31" s="1" t="s">
        <v>5</v>
      </c>
      <c r="V31" s="1"/>
      <c r="W31" s="1" t="s">
        <v>6</v>
      </c>
    </row>
    <row r="32" spans="4:32" x14ac:dyDescent="0.25">
      <c r="D32">
        <v>0</v>
      </c>
      <c r="E32">
        <f>15</f>
        <v>15</v>
      </c>
      <c r="F32">
        <v>8.3000000000000007</v>
      </c>
      <c r="G32">
        <f>F32*10^-3</f>
        <v>8.3000000000000001E-3</v>
      </c>
      <c r="H32">
        <f>E32/3600</f>
        <v>4.1666666666666666E-3</v>
      </c>
      <c r="I32">
        <f>G32/H32</f>
        <v>1.992</v>
      </c>
      <c r="J32">
        <f>G32/(H32*$M$6)</f>
        <v>144.60980036297639</v>
      </c>
      <c r="K32">
        <f>J32/$K$3</f>
        <v>9.6406533575317592</v>
      </c>
      <c r="Q32" s="1" t="s">
        <v>0</v>
      </c>
      <c r="R32" s="1" t="s">
        <v>7</v>
      </c>
      <c r="S32" s="1" t="s">
        <v>8</v>
      </c>
      <c r="T32" s="1" t="s">
        <v>9</v>
      </c>
      <c r="U32" s="1" t="s">
        <v>7</v>
      </c>
      <c r="V32" s="1" t="s">
        <v>8</v>
      </c>
      <c r="W32" s="1" t="s">
        <v>7</v>
      </c>
      <c r="X32" s="1" t="s">
        <v>8</v>
      </c>
      <c r="Y32" s="1" t="s">
        <v>9</v>
      </c>
      <c r="Z32" s="1" t="s">
        <v>10</v>
      </c>
      <c r="AA32" s="1" t="s">
        <v>1</v>
      </c>
      <c r="AB32" s="13" t="s">
        <v>15</v>
      </c>
      <c r="AC32" s="13" t="s">
        <v>19</v>
      </c>
      <c r="AD32" s="13" t="s">
        <v>20</v>
      </c>
      <c r="AE32" s="13" t="s">
        <v>21</v>
      </c>
      <c r="AF32" s="13" t="s">
        <v>34</v>
      </c>
    </row>
    <row r="33" spans="4:32" x14ac:dyDescent="0.25">
      <c r="D33">
        <v>30</v>
      </c>
      <c r="E33">
        <f>15</f>
        <v>15</v>
      </c>
      <c r="F33">
        <v>8.1</v>
      </c>
      <c r="G33">
        <f>F33*10^-3</f>
        <v>8.0999999999999996E-3</v>
      </c>
      <c r="H33">
        <f>E33/3600</f>
        <v>4.1666666666666666E-3</v>
      </c>
      <c r="I33">
        <f>G33/H33</f>
        <v>1.944</v>
      </c>
      <c r="J33">
        <f>G33/(H33*$M$6)</f>
        <v>141.12522686025406</v>
      </c>
      <c r="K33">
        <f>J33/$K$3</f>
        <v>9.4083484573502698</v>
      </c>
      <c r="Q33">
        <v>0</v>
      </c>
      <c r="R33">
        <v>1014</v>
      </c>
      <c r="S33">
        <v>0.64</v>
      </c>
      <c r="T33">
        <v>20</v>
      </c>
      <c r="U33">
        <v>991</v>
      </c>
      <c r="V33">
        <f>0.637</f>
        <v>0.63700000000000001</v>
      </c>
      <c r="W33">
        <v>187.2</v>
      </c>
      <c r="X33">
        <v>0.16020000000000001</v>
      </c>
      <c r="Y33">
        <v>20.100000000000001</v>
      </c>
      <c r="Z33">
        <v>8.1999999999999993</v>
      </c>
      <c r="AA33">
        <f>15</f>
        <v>15</v>
      </c>
      <c r="AB33">
        <f>AA33/3600</f>
        <v>4.1666666666666666E-3</v>
      </c>
      <c r="AC33">
        <f>Z33*10^-3</f>
        <v>8.199999999999999E-3</v>
      </c>
      <c r="AD33">
        <f>AC33/AB33</f>
        <v>1.9679999999999997</v>
      </c>
      <c r="AE33">
        <f>AC33/(AB33*$M$6)</f>
        <v>142.86751361161521</v>
      </c>
      <c r="AF33" s="18">
        <f>(R33-W33)/R33</f>
        <v>0.81538461538461537</v>
      </c>
    </row>
    <row r="34" spans="4:32" x14ac:dyDescent="0.25">
      <c r="D34">
        <v>60</v>
      </c>
      <c r="E34">
        <f>15</f>
        <v>15</v>
      </c>
      <c r="F34">
        <v>8</v>
      </c>
      <c r="G34">
        <f>F34*10^-3</f>
        <v>8.0000000000000002E-3</v>
      </c>
      <c r="H34">
        <f>E34/3600</f>
        <v>4.1666666666666666E-3</v>
      </c>
      <c r="I34">
        <f>G34/H34</f>
        <v>1.9200000000000002</v>
      </c>
      <c r="J34">
        <f>G34/(H34*$M$6)</f>
        <v>139.38294010889291</v>
      </c>
      <c r="K34">
        <f>J34/$K$3</f>
        <v>9.2921960072595269</v>
      </c>
      <c r="Q34">
        <v>30</v>
      </c>
      <c r="R34">
        <v>1070</v>
      </c>
      <c r="S34">
        <v>0.67900000000000005</v>
      </c>
      <c r="T34">
        <v>20.6</v>
      </c>
      <c r="U34">
        <v>1068</v>
      </c>
      <c r="V34">
        <v>0.67200000000000004</v>
      </c>
      <c r="W34">
        <v>227.1</v>
      </c>
      <c r="X34">
        <v>0.18559999999999999</v>
      </c>
      <c r="Y34">
        <v>20.3</v>
      </c>
      <c r="Z34">
        <v>7.2</v>
      </c>
      <c r="AA34">
        <f>15</f>
        <v>15</v>
      </c>
      <c r="AB34">
        <f>AA34/3600</f>
        <v>4.1666666666666666E-3</v>
      </c>
      <c r="AC34">
        <f>Z34*10^-3</f>
        <v>7.2000000000000007E-3</v>
      </c>
      <c r="AD34">
        <f>AC34/AB34</f>
        <v>1.7280000000000002</v>
      </c>
      <c r="AE34">
        <f>AC34/(AB34*$M$6)</f>
        <v>125.44464609800363</v>
      </c>
      <c r="AF34" s="18">
        <f>(R34-W34)/R34</f>
        <v>0.7877570093457944</v>
      </c>
    </row>
    <row r="35" spans="4:32" x14ac:dyDescent="0.25">
      <c r="D35">
        <v>90</v>
      </c>
      <c r="E35">
        <f>15</f>
        <v>15</v>
      </c>
      <c r="F35">
        <f>8.1</f>
        <v>8.1</v>
      </c>
      <c r="G35">
        <f>F35*10^-3</f>
        <v>8.0999999999999996E-3</v>
      </c>
      <c r="H35">
        <f>E35/3600</f>
        <v>4.1666666666666666E-3</v>
      </c>
      <c r="I35">
        <f>G35/H35</f>
        <v>1.944</v>
      </c>
      <c r="J35">
        <f>G35/(H35*$M$6)</f>
        <v>141.12522686025406</v>
      </c>
      <c r="K35">
        <f>J35/$K$3</f>
        <v>9.4083484573502698</v>
      </c>
      <c r="Q35">
        <v>60</v>
      </c>
      <c r="R35">
        <v>1150</v>
      </c>
      <c r="S35">
        <v>0.74199999999999999</v>
      </c>
      <c r="T35">
        <v>20.9</v>
      </c>
      <c r="U35">
        <v>1149</v>
      </c>
      <c r="V35">
        <v>0.74</v>
      </c>
      <c r="W35">
        <v>256.2</v>
      </c>
      <c r="X35">
        <v>0.19059999999999999</v>
      </c>
      <c r="Y35">
        <v>20.3</v>
      </c>
      <c r="Z35">
        <v>7.2</v>
      </c>
      <c r="AA35">
        <f>15</f>
        <v>15</v>
      </c>
      <c r="AB35">
        <f>AA35/3600</f>
        <v>4.1666666666666666E-3</v>
      </c>
      <c r="AC35">
        <f>Z35*10^-3</f>
        <v>7.2000000000000007E-3</v>
      </c>
      <c r="AD35">
        <f>AC35/AB35</f>
        <v>1.7280000000000002</v>
      </c>
      <c r="AE35">
        <f>AC35/(AB35*$M$6)</f>
        <v>125.44464609800363</v>
      </c>
      <c r="AF35" s="18">
        <f>(R35-W35)/R35</f>
        <v>0.77721739130434775</v>
      </c>
    </row>
    <row r="36" spans="4:32" x14ac:dyDescent="0.25">
      <c r="D36">
        <v>120</v>
      </c>
      <c r="E36">
        <f>15</f>
        <v>15</v>
      </c>
      <c r="F36">
        <f>8.1</f>
        <v>8.1</v>
      </c>
      <c r="G36">
        <f>F36*10^-3</f>
        <v>8.0999999999999996E-3</v>
      </c>
      <c r="H36">
        <f>E36/3600</f>
        <v>4.1666666666666666E-3</v>
      </c>
      <c r="I36">
        <f>G36/H36</f>
        <v>1.944</v>
      </c>
      <c r="J36">
        <f>G36/(H36*$M$6)</f>
        <v>141.12522686025406</v>
      </c>
      <c r="K36">
        <f>J36/$K$3</f>
        <v>9.4083484573502698</v>
      </c>
      <c r="Q36">
        <v>90</v>
      </c>
      <c r="R36">
        <v>1192</v>
      </c>
      <c r="S36">
        <v>0.81699999999999995</v>
      </c>
      <c r="T36">
        <v>21.7</v>
      </c>
      <c r="U36">
        <v>1194</v>
      </c>
      <c r="V36">
        <v>0.72099999999999997</v>
      </c>
      <c r="W36">
        <v>260.10000000000002</v>
      </c>
      <c r="X36">
        <v>0.20019999999999999</v>
      </c>
      <c r="Y36">
        <v>21.1</v>
      </c>
      <c r="Z36">
        <v>7.1</v>
      </c>
      <c r="AA36">
        <f>15</f>
        <v>15</v>
      </c>
      <c r="AB36">
        <f>AA36/3600</f>
        <v>4.1666666666666666E-3</v>
      </c>
      <c r="AC36">
        <f>Z36*10^-3</f>
        <v>7.0999999999999995E-3</v>
      </c>
      <c r="AD36">
        <f>AC36/AB36</f>
        <v>1.704</v>
      </c>
      <c r="AE36">
        <f>AC36/(AB36*$M$6)</f>
        <v>123.70235934664245</v>
      </c>
      <c r="AF36" s="18">
        <f>(R36-W36)/R36</f>
        <v>0.78179530201342284</v>
      </c>
    </row>
    <row r="37" spans="4:32" x14ac:dyDescent="0.25">
      <c r="D37">
        <v>150</v>
      </c>
      <c r="E37">
        <f>15</f>
        <v>15</v>
      </c>
      <c r="F37">
        <v>8.1999999999999993</v>
      </c>
      <c r="G37">
        <f>F37*10^-3</f>
        <v>8.199999999999999E-3</v>
      </c>
      <c r="H37">
        <f>E37/3600</f>
        <v>4.1666666666666666E-3</v>
      </c>
      <c r="I37">
        <f>G37/H37</f>
        <v>1.9679999999999997</v>
      </c>
      <c r="J37">
        <f>G37/(H37*$M$6)</f>
        <v>142.86751361161521</v>
      </c>
      <c r="K37">
        <f>J37/$K$3</f>
        <v>9.5245009074410145</v>
      </c>
      <c r="Q37">
        <v>120</v>
      </c>
      <c r="R37">
        <v>1380</v>
      </c>
      <c r="S37">
        <v>0.81599999999999995</v>
      </c>
      <c r="T37">
        <v>22.5</v>
      </c>
      <c r="U37">
        <v>1292</v>
      </c>
      <c r="V37">
        <v>0.79800000000000004</v>
      </c>
      <c r="W37">
        <v>266.10000000000002</v>
      </c>
      <c r="X37">
        <v>0.21010000000000001</v>
      </c>
      <c r="Y37">
        <v>21.2</v>
      </c>
      <c r="Z37">
        <v>7.1</v>
      </c>
      <c r="AA37">
        <f>15</f>
        <v>15</v>
      </c>
      <c r="AB37">
        <f>AA37/3600</f>
        <v>4.1666666666666666E-3</v>
      </c>
      <c r="AC37">
        <f>Z37*10^-3</f>
        <v>7.0999999999999995E-3</v>
      </c>
      <c r="AD37">
        <f>AC37/AB37</f>
        <v>1.704</v>
      </c>
      <c r="AE37">
        <f>AC37/(AB37*$M$6)</f>
        <v>123.70235934664245</v>
      </c>
      <c r="AF37" s="18">
        <f>(R37-W37)/R37</f>
        <v>0.8071739130434783</v>
      </c>
    </row>
    <row r="38" spans="4:32" x14ac:dyDescent="0.25">
      <c r="D38">
        <v>180</v>
      </c>
      <c r="E38">
        <f>15</f>
        <v>15</v>
      </c>
      <c r="F38">
        <v>8.1</v>
      </c>
      <c r="G38">
        <f>F38*10^-3</f>
        <v>8.0999999999999996E-3</v>
      </c>
      <c r="H38">
        <f>E38/3600</f>
        <v>4.1666666666666666E-3</v>
      </c>
      <c r="I38">
        <f>G38/H38</f>
        <v>1.944</v>
      </c>
      <c r="J38">
        <f>G38/(H38*$M$6)</f>
        <v>141.12522686025406</v>
      </c>
      <c r="K38">
        <f>J38/$K$3</f>
        <v>9.4083484573502698</v>
      </c>
      <c r="Q38">
        <v>150</v>
      </c>
      <c r="R38">
        <v>1502</v>
      </c>
      <c r="S38">
        <v>1.012</v>
      </c>
      <c r="T38">
        <v>22.8</v>
      </c>
      <c r="U38">
        <v>1481</v>
      </c>
      <c r="V38">
        <v>0.85899999999999999</v>
      </c>
      <c r="W38">
        <v>223.1</v>
      </c>
      <c r="X38">
        <v>0.1812</v>
      </c>
      <c r="Y38">
        <v>21.4</v>
      </c>
      <c r="Z38">
        <v>7</v>
      </c>
      <c r="AA38">
        <f>15</f>
        <v>15</v>
      </c>
      <c r="AB38">
        <f>AA38/3600</f>
        <v>4.1666666666666666E-3</v>
      </c>
      <c r="AC38">
        <f>Z38*10^-3</f>
        <v>7.0000000000000001E-3</v>
      </c>
      <c r="AD38">
        <f>AC38/AB38</f>
        <v>1.6800000000000002</v>
      </c>
      <c r="AE38">
        <f>AC38/(AB38*$M$6)</f>
        <v>121.9600725952813</v>
      </c>
      <c r="AF38" s="18">
        <f>(R38-W38)/R38</f>
        <v>0.85146471371504662</v>
      </c>
    </row>
    <row r="39" spans="4:32" x14ac:dyDescent="0.25">
      <c r="D39">
        <v>210</v>
      </c>
      <c r="E39">
        <f>15</f>
        <v>15</v>
      </c>
      <c r="F39">
        <f>8.2</f>
        <v>8.1999999999999993</v>
      </c>
      <c r="G39">
        <f>F39*10^-3</f>
        <v>8.199999999999999E-3</v>
      </c>
      <c r="H39">
        <f>E39/3600</f>
        <v>4.1666666666666666E-3</v>
      </c>
      <c r="I39">
        <f>G39/H39</f>
        <v>1.9679999999999997</v>
      </c>
      <c r="J39">
        <f>G39/(H39*$M$6)</f>
        <v>142.86751361161521</v>
      </c>
      <c r="K39">
        <f>J39/$K$3</f>
        <v>9.5245009074410145</v>
      </c>
      <c r="Q39">
        <v>180</v>
      </c>
      <c r="R39">
        <v>1689</v>
      </c>
      <c r="S39">
        <v>1.052</v>
      </c>
      <c r="T39">
        <v>23.1</v>
      </c>
      <c r="U39">
        <v>1650</v>
      </c>
      <c r="V39">
        <v>0.96199999999999997</v>
      </c>
      <c r="W39">
        <v>269.3</v>
      </c>
      <c r="X39">
        <v>0.18049999999999999</v>
      </c>
      <c r="Y39">
        <v>21.8</v>
      </c>
      <c r="Z39">
        <v>7</v>
      </c>
      <c r="AA39">
        <f>15</f>
        <v>15</v>
      </c>
      <c r="AB39">
        <f>AA39/3600</f>
        <v>4.1666666666666666E-3</v>
      </c>
      <c r="AC39">
        <f>Z39*10^-3</f>
        <v>7.0000000000000001E-3</v>
      </c>
      <c r="AD39">
        <f>AC39/AB39</f>
        <v>1.6800000000000002</v>
      </c>
      <c r="AE39">
        <f>AC39/(AB39*$M$6)</f>
        <v>121.9600725952813</v>
      </c>
      <c r="AF39" s="18">
        <f>(R39-W39)/R39</f>
        <v>0.84055654233274124</v>
      </c>
    </row>
    <row r="40" spans="4:32" x14ac:dyDescent="0.25">
      <c r="D40">
        <v>240</v>
      </c>
      <c r="E40">
        <f>15</f>
        <v>15</v>
      </c>
      <c r="F40">
        <v>8.6</v>
      </c>
      <c r="G40">
        <f>F40*10^-3</f>
        <v>8.6E-3</v>
      </c>
      <c r="H40">
        <f>E40/3600</f>
        <v>4.1666666666666666E-3</v>
      </c>
      <c r="I40">
        <f>G40/H40</f>
        <v>2.0640000000000001</v>
      </c>
      <c r="J40">
        <f>G40/(H40*$M$6)</f>
        <v>149.83666061705989</v>
      </c>
      <c r="K40">
        <f>J40/$K$3</f>
        <v>9.9891107078039933</v>
      </c>
      <c r="Q40">
        <v>210</v>
      </c>
      <c r="R40">
        <v>1904</v>
      </c>
      <c r="S40">
        <f>1.238</f>
        <v>1.238</v>
      </c>
      <c r="T40">
        <v>23.6</v>
      </c>
      <c r="U40">
        <f>1.934*10^3</f>
        <v>1934</v>
      </c>
      <c r="V40">
        <v>1.0109999999999999</v>
      </c>
      <c r="W40">
        <v>261.2</v>
      </c>
      <c r="X40">
        <v>0.16900000000000001</v>
      </c>
      <c r="Y40">
        <v>22.2</v>
      </c>
      <c r="Z40">
        <v>7</v>
      </c>
      <c r="AA40">
        <f>15</f>
        <v>15</v>
      </c>
      <c r="AB40">
        <f>AA40/3600</f>
        <v>4.1666666666666666E-3</v>
      </c>
      <c r="AC40">
        <f>Z40*10^-3</f>
        <v>7.0000000000000001E-3</v>
      </c>
      <c r="AD40">
        <f>AC40/AB40</f>
        <v>1.6800000000000002</v>
      </c>
      <c r="AE40">
        <f>AC40/(AB40*$M$6)</f>
        <v>121.9600725952813</v>
      </c>
      <c r="AF40" s="18">
        <f>(R40-W40)/R40</f>
        <v>0.8628151260504201</v>
      </c>
    </row>
    <row r="41" spans="4:32" x14ac:dyDescent="0.25">
      <c r="J41" s="1">
        <f>AVERAGE(J32:J40)</f>
        <v>142.6739261947973</v>
      </c>
      <c r="K41" s="1">
        <f>AVERAGE(K32:K40)</f>
        <v>9.5115950796531532</v>
      </c>
      <c r="Q41">
        <v>240</v>
      </c>
      <c r="R41">
        <v>1354</v>
      </c>
      <c r="S41">
        <v>0.88600000000000001</v>
      </c>
      <c r="T41">
        <v>24.9</v>
      </c>
      <c r="U41">
        <v>1960</v>
      </c>
      <c r="V41">
        <v>1.1259999999999999</v>
      </c>
      <c r="W41">
        <v>255.6</v>
      </c>
      <c r="X41">
        <v>0.18559999999999999</v>
      </c>
      <c r="Y41">
        <v>22.6</v>
      </c>
      <c r="Z41">
        <v>6.9</v>
      </c>
      <c r="AA41">
        <f>15</f>
        <v>15</v>
      </c>
      <c r="AB41">
        <f>AA41/3600</f>
        <v>4.1666666666666666E-3</v>
      </c>
      <c r="AC41">
        <f>Z41*10^-3</f>
        <v>6.9000000000000008E-3</v>
      </c>
      <c r="AD41">
        <f>AC41/AB41</f>
        <v>1.6560000000000001</v>
      </c>
      <c r="AE41">
        <f>AC41/(AB41*$M$6)</f>
        <v>120.21778584392015</v>
      </c>
      <c r="AF41" s="18">
        <f>(R41-W41)/R41</f>
        <v>0.81122599704579035</v>
      </c>
    </row>
    <row r="42" spans="4:32" x14ac:dyDescent="0.25">
      <c r="Q42">
        <v>270</v>
      </c>
      <c r="R42">
        <v>1560</v>
      </c>
      <c r="S42">
        <v>1.1120000000000001</v>
      </c>
      <c r="T42">
        <v>25.1</v>
      </c>
      <c r="U42">
        <v>2460</v>
      </c>
      <c r="V42">
        <v>1.5229999999999999</v>
      </c>
      <c r="W42">
        <v>270.2</v>
      </c>
      <c r="X42">
        <v>0.189</v>
      </c>
      <c r="Y42">
        <v>22.9</v>
      </c>
      <c r="Z42">
        <v>6.7</v>
      </c>
      <c r="AA42">
        <f>15</f>
        <v>15</v>
      </c>
      <c r="AB42">
        <f>AA42/3600</f>
        <v>4.1666666666666666E-3</v>
      </c>
      <c r="AC42">
        <f>Z42*10^-3</f>
        <v>6.7000000000000002E-3</v>
      </c>
      <c r="AD42">
        <f>AC42/AB42</f>
        <v>1.6080000000000001</v>
      </c>
      <c r="AE42">
        <f>AC42/(AB42*$M$6)</f>
        <v>116.73321234119781</v>
      </c>
      <c r="AF42" s="18">
        <f>(R42-W42)/R42</f>
        <v>0.82679487179487177</v>
      </c>
    </row>
    <row r="43" spans="4:32" x14ac:dyDescent="0.25">
      <c r="AE43" s="1">
        <f>AVERAGE(AE33:AE42)</f>
        <v>124.39927404718692</v>
      </c>
      <c r="AF43" s="19">
        <f>AVERAGE(AF33:AF42)</f>
        <v>0.81621854820305284</v>
      </c>
    </row>
    <row r="51" spans="4:32" x14ac:dyDescent="0.25">
      <c r="D51" s="1" t="s">
        <v>0</v>
      </c>
      <c r="E51" s="1" t="s">
        <v>1</v>
      </c>
      <c r="F51" s="1" t="s">
        <v>2</v>
      </c>
      <c r="G51" s="13" t="s">
        <v>3</v>
      </c>
      <c r="H51" s="13" t="s">
        <v>15</v>
      </c>
      <c r="I51" s="13" t="s">
        <v>16</v>
      </c>
      <c r="J51" s="13" t="s">
        <v>17</v>
      </c>
      <c r="K51" s="13" t="s">
        <v>44</v>
      </c>
      <c r="R51" s="1" t="s">
        <v>4</v>
      </c>
      <c r="S51" s="1"/>
      <c r="T51" s="1"/>
      <c r="U51" s="1" t="s">
        <v>5</v>
      </c>
      <c r="V51" s="1"/>
      <c r="W51" s="1" t="s">
        <v>6</v>
      </c>
      <c r="X51" s="1"/>
    </row>
    <row r="52" spans="4:32" x14ac:dyDescent="0.25">
      <c r="D52">
        <v>0</v>
      </c>
      <c r="E52">
        <f>15</f>
        <v>15</v>
      </c>
      <c r="F52">
        <v>7.9</v>
      </c>
      <c r="G52">
        <f>F52*10^-3</f>
        <v>7.9000000000000008E-3</v>
      </c>
      <c r="H52">
        <f>E52/3600</f>
        <v>4.1666666666666666E-3</v>
      </c>
      <c r="I52">
        <f>G52/H52</f>
        <v>1.8960000000000001</v>
      </c>
      <c r="J52">
        <f>G52/(H52*$M$6)</f>
        <v>137.64065335753176</v>
      </c>
      <c r="K52">
        <f>J52/$K$3</f>
        <v>9.1760435571687839</v>
      </c>
      <c r="Q52" s="1" t="s">
        <v>0</v>
      </c>
      <c r="R52" s="1" t="s">
        <v>7</v>
      </c>
      <c r="S52" s="1" t="s">
        <v>8</v>
      </c>
      <c r="T52" s="1" t="s">
        <v>9</v>
      </c>
      <c r="U52" s="1" t="s">
        <v>7</v>
      </c>
      <c r="V52" s="1" t="s">
        <v>8</v>
      </c>
      <c r="W52" s="1" t="s">
        <v>7</v>
      </c>
      <c r="X52" s="1" t="s">
        <v>8</v>
      </c>
      <c r="Y52" s="1" t="s">
        <v>9</v>
      </c>
      <c r="Z52" s="1" t="s">
        <v>10</v>
      </c>
      <c r="AA52" s="1" t="s">
        <v>1</v>
      </c>
      <c r="AB52" s="13" t="s">
        <v>15</v>
      </c>
      <c r="AC52" s="13" t="s">
        <v>19</v>
      </c>
      <c r="AD52" s="13" t="s">
        <v>20</v>
      </c>
      <c r="AE52" s="13" t="s">
        <v>21</v>
      </c>
      <c r="AF52" s="13" t="s">
        <v>34</v>
      </c>
    </row>
    <row r="53" spans="4:32" x14ac:dyDescent="0.25">
      <c r="D53">
        <v>30</v>
      </c>
      <c r="E53">
        <f>15</f>
        <v>15</v>
      </c>
      <c r="F53">
        <v>8</v>
      </c>
      <c r="G53">
        <f>F53*10^-3</f>
        <v>8.0000000000000002E-3</v>
      </c>
      <c r="H53">
        <f>E53/3600</f>
        <v>4.1666666666666666E-3</v>
      </c>
      <c r="I53">
        <f>G53/H53</f>
        <v>1.9200000000000002</v>
      </c>
      <c r="J53">
        <f>G53/(H53*$M$6)</f>
        <v>139.38294010889291</v>
      </c>
      <c r="K53">
        <f>J53/$K$3</f>
        <v>9.2921960072595269</v>
      </c>
      <c r="Q53">
        <v>0</v>
      </c>
      <c r="R53">
        <v>1029</v>
      </c>
      <c r="S53">
        <v>0.69199999999999995</v>
      </c>
      <c r="T53">
        <v>20</v>
      </c>
      <c r="U53">
        <v>985</v>
      </c>
      <c r="V53">
        <v>0.58499999999999996</v>
      </c>
      <c r="W53">
        <v>201.2</v>
      </c>
      <c r="X53">
        <v>0.15559999999999999</v>
      </c>
      <c r="Y53">
        <v>20.2</v>
      </c>
      <c r="Z53">
        <v>8.1</v>
      </c>
      <c r="AA53">
        <f>15</f>
        <v>15</v>
      </c>
      <c r="AB53">
        <f>AA53/3600</f>
        <v>4.1666666666666666E-3</v>
      </c>
      <c r="AC53">
        <f>Z53*10^-3</f>
        <v>8.0999999999999996E-3</v>
      </c>
      <c r="AD53">
        <f>AC53/AB53</f>
        <v>1.944</v>
      </c>
      <c r="AE53">
        <f>AC53/(AB53*$M$6)</f>
        <v>141.12522686025406</v>
      </c>
      <c r="AF53" s="18">
        <f>(R53-W53)/R53</f>
        <v>0.80447035957240032</v>
      </c>
    </row>
    <row r="54" spans="4:32" x14ac:dyDescent="0.25">
      <c r="D54">
        <v>60</v>
      </c>
      <c r="E54">
        <f>15</f>
        <v>15</v>
      </c>
      <c r="F54">
        <v>8.1</v>
      </c>
      <c r="G54">
        <f>F54*10^-3</f>
        <v>8.0999999999999996E-3</v>
      </c>
      <c r="H54">
        <f>E54/3600</f>
        <v>4.1666666666666666E-3</v>
      </c>
      <c r="I54">
        <f>G54/H54</f>
        <v>1.944</v>
      </c>
      <c r="J54">
        <f>G54/(H54*$M$6)</f>
        <v>141.12522686025406</v>
      </c>
      <c r="K54">
        <f>J54/$K$3</f>
        <v>9.4083484573502698</v>
      </c>
      <c r="Q54">
        <v>30</v>
      </c>
      <c r="R54">
        <v>1065</v>
      </c>
      <c r="S54">
        <v>0.70499999999999996</v>
      </c>
      <c r="T54">
        <v>20.399999999999999</v>
      </c>
      <c r="U54">
        <v>1005</v>
      </c>
      <c r="V54">
        <v>0.623</v>
      </c>
      <c r="W54">
        <v>249.1</v>
      </c>
      <c r="X54">
        <v>0.17649999999999999</v>
      </c>
      <c r="Y54">
        <v>20.3</v>
      </c>
      <c r="Z54">
        <v>8</v>
      </c>
      <c r="AA54">
        <f>15</f>
        <v>15</v>
      </c>
      <c r="AB54">
        <f>AA54/3600</f>
        <v>4.1666666666666666E-3</v>
      </c>
      <c r="AC54">
        <f>Z54*10^-3</f>
        <v>8.0000000000000002E-3</v>
      </c>
      <c r="AD54">
        <f>AC54/AB54</f>
        <v>1.9200000000000002</v>
      </c>
      <c r="AE54">
        <f>AC54/(AB54*$M$6)</f>
        <v>139.38294010889291</v>
      </c>
      <c r="AF54" s="18">
        <f>(R54-W54)/R54</f>
        <v>0.76610328638497649</v>
      </c>
    </row>
    <row r="55" spans="4:32" x14ac:dyDescent="0.25">
      <c r="D55">
        <v>90</v>
      </c>
      <c r="E55">
        <f>15</f>
        <v>15</v>
      </c>
      <c r="F55">
        <v>8.1</v>
      </c>
      <c r="G55">
        <f>F55*10^-3</f>
        <v>8.0999999999999996E-3</v>
      </c>
      <c r="H55">
        <f>E55/3600</f>
        <v>4.1666666666666666E-3</v>
      </c>
      <c r="I55">
        <f>G55/H55</f>
        <v>1.944</v>
      </c>
      <c r="J55">
        <f>G55/(H55*$M$6)</f>
        <v>141.12522686025406</v>
      </c>
      <c r="K55">
        <f>J55/$K$3</f>
        <v>9.4083484573502698</v>
      </c>
      <c r="Q55">
        <v>60</v>
      </c>
      <c r="R55">
        <v>1145</v>
      </c>
      <c r="S55">
        <v>0.72899999999999998</v>
      </c>
      <c r="T55">
        <v>20.7</v>
      </c>
      <c r="U55">
        <v>1059</v>
      </c>
      <c r="V55">
        <v>0.67300000000000004</v>
      </c>
      <c r="W55">
        <v>231.2</v>
      </c>
      <c r="X55">
        <v>0.18990000000000001</v>
      </c>
      <c r="Y55">
        <v>20.2</v>
      </c>
      <c r="Z55">
        <v>8</v>
      </c>
      <c r="AA55">
        <f>15</f>
        <v>15</v>
      </c>
      <c r="AB55">
        <f>AA55/3600</f>
        <v>4.1666666666666666E-3</v>
      </c>
      <c r="AC55">
        <f>Z55*10^-3</f>
        <v>8.0000000000000002E-3</v>
      </c>
      <c r="AD55">
        <f>AC55/AB55</f>
        <v>1.9200000000000002</v>
      </c>
      <c r="AE55">
        <f>AC55/(AB55*$M$6)</f>
        <v>139.38294010889291</v>
      </c>
      <c r="AF55" s="18">
        <f>(R55-W55)/R55</f>
        <v>0.79807860262008734</v>
      </c>
    </row>
    <row r="56" spans="4:32" x14ac:dyDescent="0.25">
      <c r="D56">
        <v>120</v>
      </c>
      <c r="E56">
        <f>15</f>
        <v>15</v>
      </c>
      <c r="F56">
        <v>7.9</v>
      </c>
      <c r="G56">
        <f>F56*10^-3</f>
        <v>7.9000000000000008E-3</v>
      </c>
      <c r="H56">
        <f>E56/3600</f>
        <v>4.1666666666666666E-3</v>
      </c>
      <c r="I56">
        <f>G56/H56</f>
        <v>1.8960000000000001</v>
      </c>
      <c r="J56">
        <f>G56/(H56*$M$6)</f>
        <v>137.64065335753176</v>
      </c>
      <c r="K56">
        <f>J56/$K$3</f>
        <v>9.1760435571687839</v>
      </c>
      <c r="Q56">
        <v>90</v>
      </c>
      <c r="R56">
        <v>1198</v>
      </c>
      <c r="S56">
        <v>0.74099999999999999</v>
      </c>
      <c r="T56">
        <v>21.2</v>
      </c>
      <c r="U56">
        <v>1120</v>
      </c>
      <c r="V56">
        <v>0.70599999999999996</v>
      </c>
      <c r="W56">
        <v>253.1</v>
      </c>
      <c r="X56">
        <v>0.19059999999999999</v>
      </c>
      <c r="Y56">
        <v>20.5</v>
      </c>
      <c r="Z56">
        <v>7.9</v>
      </c>
      <c r="AA56">
        <f>15</f>
        <v>15</v>
      </c>
      <c r="AB56">
        <f>AA56/3600</f>
        <v>4.1666666666666666E-3</v>
      </c>
      <c r="AC56">
        <f>Z56*10^-3</f>
        <v>7.9000000000000008E-3</v>
      </c>
      <c r="AD56">
        <f>AC56/AB56</f>
        <v>1.8960000000000001</v>
      </c>
      <c r="AE56">
        <f>AC56/(AB56*$M$6)</f>
        <v>137.64065335753176</v>
      </c>
      <c r="AF56" s="18">
        <f>(R56-W56)/R56</f>
        <v>0.78873121869782969</v>
      </c>
    </row>
    <row r="57" spans="4:32" x14ac:dyDescent="0.25">
      <c r="D57">
        <v>150</v>
      </c>
      <c r="E57">
        <f>15</f>
        <v>15</v>
      </c>
      <c r="F57">
        <v>7.9</v>
      </c>
      <c r="G57">
        <f>F57*10^-3</f>
        <v>7.9000000000000008E-3</v>
      </c>
      <c r="H57">
        <f>E57/3600</f>
        <v>4.1666666666666666E-3</v>
      </c>
      <c r="I57">
        <f>G57/H57</f>
        <v>1.8960000000000001</v>
      </c>
      <c r="J57">
        <f>G57/(H57*$M$6)</f>
        <v>137.64065335753176</v>
      </c>
      <c r="K57">
        <f>J57/$K$3</f>
        <v>9.1760435571687839</v>
      </c>
      <c r="Q57">
        <v>120</v>
      </c>
      <c r="R57">
        <v>1405</v>
      </c>
      <c r="S57">
        <v>0.90200000000000002</v>
      </c>
      <c r="T57">
        <v>21.6</v>
      </c>
      <c r="U57">
        <v>1360</v>
      </c>
      <c r="V57">
        <v>0.78</v>
      </c>
      <c r="W57">
        <v>249.6</v>
      </c>
      <c r="X57">
        <v>0.19520000000000001</v>
      </c>
      <c r="Y57">
        <v>20.6</v>
      </c>
      <c r="Z57">
        <v>7.9</v>
      </c>
      <c r="AA57">
        <f>15</f>
        <v>15</v>
      </c>
      <c r="AB57">
        <f>AA57/3600</f>
        <v>4.1666666666666666E-3</v>
      </c>
      <c r="AC57">
        <f>Z57*10^-3</f>
        <v>7.9000000000000008E-3</v>
      </c>
      <c r="AD57">
        <f>AC57/AB57</f>
        <v>1.8960000000000001</v>
      </c>
      <c r="AE57">
        <f>AC57/(AB57*$M$6)</f>
        <v>137.64065335753176</v>
      </c>
      <c r="AF57" s="18">
        <f>(R57-W57)/R57</f>
        <v>0.82234875444839861</v>
      </c>
    </row>
    <row r="58" spans="4:32" x14ac:dyDescent="0.25">
      <c r="D58">
        <v>180</v>
      </c>
      <c r="E58">
        <f>15</f>
        <v>15</v>
      </c>
      <c r="F58">
        <v>7.8</v>
      </c>
      <c r="G58">
        <f>F58*10^-3</f>
        <v>7.7999999999999996E-3</v>
      </c>
      <c r="H58">
        <f>E58/3600</f>
        <v>4.1666666666666666E-3</v>
      </c>
      <c r="I58">
        <f>G58/H58</f>
        <v>1.8719999999999999</v>
      </c>
      <c r="J58">
        <f>G58/(H58*$M$6)</f>
        <v>135.89836660617058</v>
      </c>
      <c r="K58">
        <f>J58/$K$3</f>
        <v>9.0598911070780392</v>
      </c>
      <c r="Q58">
        <v>150</v>
      </c>
      <c r="R58">
        <v>1533</v>
      </c>
      <c r="S58">
        <v>1.0509999999999999</v>
      </c>
      <c r="T58">
        <v>22.1</v>
      </c>
      <c r="U58">
        <v>1492</v>
      </c>
      <c r="V58">
        <v>0.82099999999999995</v>
      </c>
      <c r="W58">
        <v>254.3</v>
      </c>
      <c r="X58">
        <v>0.21029999999999999</v>
      </c>
      <c r="Y58">
        <v>20.9</v>
      </c>
      <c r="Z58">
        <v>7.9</v>
      </c>
      <c r="AA58">
        <f>15</f>
        <v>15</v>
      </c>
      <c r="AB58">
        <f>AA58/3600</f>
        <v>4.1666666666666666E-3</v>
      </c>
      <c r="AC58">
        <f>Z58*10^-3</f>
        <v>7.9000000000000008E-3</v>
      </c>
      <c r="AD58">
        <f>AC58/AB58</f>
        <v>1.8960000000000001</v>
      </c>
      <c r="AE58">
        <f>AC58/(AB58*$M$6)</f>
        <v>137.64065335753176</v>
      </c>
      <c r="AF58" s="18">
        <f>(R58-W58)/R58</f>
        <v>0.83411611219830406</v>
      </c>
    </row>
    <row r="59" spans="4:32" x14ac:dyDescent="0.25">
      <c r="D59">
        <v>210</v>
      </c>
      <c r="E59">
        <f>15</f>
        <v>15</v>
      </c>
      <c r="F59">
        <v>7.8</v>
      </c>
      <c r="G59">
        <f>F59*10^-3</f>
        <v>7.7999999999999996E-3</v>
      </c>
      <c r="H59">
        <f>E59/3600</f>
        <v>4.1666666666666666E-3</v>
      </c>
      <c r="I59">
        <f>G59/H59</f>
        <v>1.8719999999999999</v>
      </c>
      <c r="J59">
        <f>G59/(H59*$M$6)</f>
        <v>135.89836660617058</v>
      </c>
      <c r="K59">
        <f>J59/$K$3</f>
        <v>9.0598911070780392</v>
      </c>
      <c r="Q59">
        <v>180</v>
      </c>
      <c r="R59">
        <v>1679</v>
      </c>
      <c r="S59">
        <v>1.0660000000000001</v>
      </c>
      <c r="T59">
        <v>22.8</v>
      </c>
      <c r="U59">
        <v>1595</v>
      </c>
      <c r="V59">
        <v>0.91500000000000004</v>
      </c>
      <c r="W59">
        <v>281.2</v>
      </c>
      <c r="X59">
        <v>0.21199999999999999</v>
      </c>
      <c r="Y59">
        <v>21.1</v>
      </c>
      <c r="Z59">
        <v>7.8</v>
      </c>
      <c r="AA59">
        <f>15</f>
        <v>15</v>
      </c>
      <c r="AB59">
        <f>AA59/3600</f>
        <v>4.1666666666666666E-3</v>
      </c>
      <c r="AC59">
        <f>Z59*10^-3</f>
        <v>7.7999999999999996E-3</v>
      </c>
      <c r="AD59">
        <f>AC59/AB59</f>
        <v>1.8719999999999999</v>
      </c>
      <c r="AE59">
        <f>AC59/(AB59*$M$6)</f>
        <v>135.89836660617058</v>
      </c>
      <c r="AF59" s="18">
        <f>(R59-W59)/R59</f>
        <v>0.83251935675997613</v>
      </c>
    </row>
    <row r="60" spans="4:32" x14ac:dyDescent="0.25">
      <c r="D60">
        <v>240</v>
      </c>
      <c r="E60">
        <f>15</f>
        <v>15</v>
      </c>
      <c r="F60">
        <v>7.6</v>
      </c>
      <c r="G60">
        <f>F60*10^-3</f>
        <v>7.6E-3</v>
      </c>
      <c r="H60">
        <f>E60/3600</f>
        <v>4.1666666666666666E-3</v>
      </c>
      <c r="I60">
        <f>G60/H60</f>
        <v>1.8240000000000001</v>
      </c>
      <c r="J60">
        <f>G60/(H60*$M$6)</f>
        <v>132.41379310344826</v>
      </c>
      <c r="K60">
        <f>J60/$K$3</f>
        <v>8.8275862068965498</v>
      </c>
      <c r="Q60">
        <v>210</v>
      </c>
      <c r="R60">
        <v>1994</v>
      </c>
      <c r="S60">
        <v>1.23</v>
      </c>
      <c r="T60">
        <v>23.1</v>
      </c>
      <c r="U60">
        <v>1879</v>
      </c>
      <c r="V60">
        <v>0.998</v>
      </c>
      <c r="W60">
        <v>291.3</v>
      </c>
      <c r="X60">
        <v>0.23219999999999999</v>
      </c>
      <c r="Y60">
        <v>21.4</v>
      </c>
      <c r="Z60">
        <v>7.8</v>
      </c>
      <c r="AA60">
        <f>15</f>
        <v>15</v>
      </c>
      <c r="AB60">
        <f>AA60/3600</f>
        <v>4.1666666666666666E-3</v>
      </c>
      <c r="AC60">
        <f>Z60*10^-3</f>
        <v>7.7999999999999996E-3</v>
      </c>
      <c r="AD60">
        <f>AC60/AB60</f>
        <v>1.8719999999999999</v>
      </c>
      <c r="AE60">
        <f>AC60/(AB60*$M$6)</f>
        <v>135.89836660617058</v>
      </c>
      <c r="AF60" s="18">
        <f>(R60-W60)/R60</f>
        <v>0.85391173520561692</v>
      </c>
    </row>
    <row r="61" spans="4:32" x14ac:dyDescent="0.25">
      <c r="J61" s="1">
        <f>AVERAGE(J52:J60)</f>
        <v>137.64065335753173</v>
      </c>
      <c r="K61" s="1">
        <f>AVERAGE(K52:K60)</f>
        <v>9.1760435571687839</v>
      </c>
      <c r="Q61">
        <v>240</v>
      </c>
      <c r="R61">
        <v>1299</v>
      </c>
      <c r="S61">
        <v>0.96099999999999997</v>
      </c>
      <c r="T61">
        <v>23.6</v>
      </c>
      <c r="U61">
        <v>1960</v>
      </c>
      <c r="V61">
        <v>1.1990000000000001</v>
      </c>
      <c r="W61">
        <v>298.3</v>
      </c>
      <c r="X61">
        <v>0.23980000000000001</v>
      </c>
      <c r="Y61">
        <v>21.9</v>
      </c>
      <c r="Z61">
        <v>7.8</v>
      </c>
      <c r="AA61">
        <f>15</f>
        <v>15</v>
      </c>
      <c r="AB61">
        <f>AA61/3600</f>
        <v>4.1666666666666666E-3</v>
      </c>
      <c r="AC61">
        <f>Z61*10^-3</f>
        <v>7.7999999999999996E-3</v>
      </c>
      <c r="AD61">
        <f>AC61/AB61</f>
        <v>1.8719999999999999</v>
      </c>
      <c r="AE61">
        <f>AC61/(AB61*$M$6)</f>
        <v>135.89836660617058</v>
      </c>
      <c r="AF61" s="18">
        <f>(R61-W61)/R61</f>
        <v>0.77036181678214011</v>
      </c>
    </row>
    <row r="62" spans="4:32" x14ac:dyDescent="0.25">
      <c r="Q62">
        <v>270</v>
      </c>
      <c r="R62">
        <v>1592</v>
      </c>
      <c r="S62">
        <v>1.23</v>
      </c>
      <c r="T62">
        <v>24.9</v>
      </c>
      <c r="U62">
        <v>2320</v>
      </c>
      <c r="V62">
        <v>1.4950000000000001</v>
      </c>
      <c r="W62">
        <v>302.60000000000002</v>
      </c>
      <c r="X62">
        <v>0.24099999999999999</v>
      </c>
      <c r="Y62">
        <v>22.1</v>
      </c>
      <c r="Z62">
        <v>7.6</v>
      </c>
      <c r="AA62">
        <f>15</f>
        <v>15</v>
      </c>
      <c r="AB62">
        <f>AA62/3600</f>
        <v>4.1666666666666666E-3</v>
      </c>
      <c r="AC62">
        <f>Z62*10^-3</f>
        <v>7.6E-3</v>
      </c>
      <c r="AD62">
        <f>AC62/AB62</f>
        <v>1.8240000000000001</v>
      </c>
      <c r="AE62">
        <f>AC62/(AB62*$M$6)</f>
        <v>132.41379310344826</v>
      </c>
      <c r="AF62" s="18">
        <f>(R62-W62)/R62</f>
        <v>0.809924623115578</v>
      </c>
    </row>
    <row r="63" spans="4:32" x14ac:dyDescent="0.25">
      <c r="AE63" s="1">
        <f>AVERAGE(AE53:AE62)</f>
        <v>137.29219600725952</v>
      </c>
      <c r="AF63" s="19">
        <f>AVERAGE(AF53:AF62)</f>
        <v>0.80805658657853063</v>
      </c>
    </row>
    <row r="71" spans="4:32" x14ac:dyDescent="0.25">
      <c r="D71" s="1" t="s">
        <v>0</v>
      </c>
      <c r="E71" s="1" t="s">
        <v>1</v>
      </c>
      <c r="F71" s="1" t="s">
        <v>2</v>
      </c>
      <c r="G71" s="13" t="s">
        <v>3</v>
      </c>
      <c r="H71" s="13" t="s">
        <v>15</v>
      </c>
      <c r="I71" s="13" t="s">
        <v>16</v>
      </c>
      <c r="J71" s="13" t="s">
        <v>17</v>
      </c>
      <c r="K71" s="13" t="s">
        <v>44</v>
      </c>
    </row>
    <row r="72" spans="4:32" x14ac:dyDescent="0.25">
      <c r="D72">
        <v>0</v>
      </c>
      <c r="E72">
        <f>15</f>
        <v>15</v>
      </c>
      <c r="F72">
        <v>8.1</v>
      </c>
      <c r="G72">
        <f>F72*10^-3</f>
        <v>8.0999999999999996E-3</v>
      </c>
      <c r="H72">
        <f>E72/3600</f>
        <v>4.1666666666666666E-3</v>
      </c>
      <c r="I72">
        <f>G72/H72</f>
        <v>1.944</v>
      </c>
      <c r="J72">
        <f>G72/(H72*$M$6)</f>
        <v>141.12522686025406</v>
      </c>
      <c r="K72">
        <f>J72/$K$3</f>
        <v>9.4083484573502698</v>
      </c>
      <c r="R72" s="1" t="s">
        <v>4</v>
      </c>
      <c r="S72" s="1"/>
      <c r="T72" s="1"/>
      <c r="U72" s="1" t="s">
        <v>5</v>
      </c>
      <c r="V72" s="1"/>
      <c r="W72" s="1" t="s">
        <v>6</v>
      </c>
      <c r="X72" s="1"/>
    </row>
    <row r="73" spans="4:32" x14ac:dyDescent="0.25">
      <c r="D73">
        <v>30</v>
      </c>
      <c r="E73">
        <f>15</f>
        <v>15</v>
      </c>
      <c r="F73">
        <v>7.9</v>
      </c>
      <c r="G73">
        <f>F73*10^-3</f>
        <v>7.9000000000000008E-3</v>
      </c>
      <c r="H73">
        <f>E73/3600</f>
        <v>4.1666666666666666E-3</v>
      </c>
      <c r="I73">
        <f>G73/H73</f>
        <v>1.8960000000000001</v>
      </c>
      <c r="J73">
        <f>G73/(H73*$M$6)</f>
        <v>137.64065335753176</v>
      </c>
      <c r="K73">
        <f>J73/$K$3</f>
        <v>9.1760435571687839</v>
      </c>
      <c r="Q73" s="1" t="s">
        <v>0</v>
      </c>
      <c r="R73" s="1" t="s">
        <v>7</v>
      </c>
      <c r="S73" s="1" t="s">
        <v>8</v>
      </c>
      <c r="T73" s="1" t="s">
        <v>9</v>
      </c>
      <c r="U73" s="1" t="s">
        <v>7</v>
      </c>
      <c r="V73" s="1" t="s">
        <v>8</v>
      </c>
      <c r="W73" s="1" t="s">
        <v>7</v>
      </c>
      <c r="X73" s="1" t="s">
        <v>8</v>
      </c>
      <c r="Y73" s="1" t="s">
        <v>9</v>
      </c>
      <c r="Z73" s="1" t="s">
        <v>10</v>
      </c>
      <c r="AA73" s="1" t="s">
        <v>1</v>
      </c>
      <c r="AB73" s="13" t="s">
        <v>15</v>
      </c>
      <c r="AC73" s="13" t="s">
        <v>19</v>
      </c>
      <c r="AD73" s="13" t="s">
        <v>20</v>
      </c>
      <c r="AE73" s="13" t="s">
        <v>21</v>
      </c>
      <c r="AF73" s="13" t="s">
        <v>34</v>
      </c>
    </row>
    <row r="74" spans="4:32" x14ac:dyDescent="0.25">
      <c r="D74">
        <v>60</v>
      </c>
      <c r="E74">
        <f>15</f>
        <v>15</v>
      </c>
      <c r="F74">
        <v>7.9</v>
      </c>
      <c r="G74">
        <f>F74*10^-3</f>
        <v>7.9000000000000008E-3</v>
      </c>
      <c r="H74">
        <f>E74/3600</f>
        <v>4.1666666666666666E-3</v>
      </c>
      <c r="I74">
        <f>G74/H74</f>
        <v>1.8960000000000001</v>
      </c>
      <c r="J74">
        <f>G74/(H74*$M$6)</f>
        <v>137.64065335753176</v>
      </c>
      <c r="K74">
        <f>J74/$K$3</f>
        <v>9.1760435571687839</v>
      </c>
      <c r="Q74">
        <v>0</v>
      </c>
      <c r="R74">
        <v>1013</v>
      </c>
      <c r="S74">
        <v>0.59799999999999998</v>
      </c>
      <c r="T74">
        <v>20.2</v>
      </c>
      <c r="U74">
        <v>858</v>
      </c>
      <c r="V74">
        <v>0.495</v>
      </c>
      <c r="W74">
        <v>220.2</v>
      </c>
      <c r="X74">
        <v>0.22639999999999999</v>
      </c>
      <c r="Y74">
        <v>20.100000000000001</v>
      </c>
      <c r="Z74">
        <v>8</v>
      </c>
      <c r="AA74">
        <f>15</f>
        <v>15</v>
      </c>
      <c r="AB74">
        <f>AA74/3600</f>
        <v>4.1666666666666666E-3</v>
      </c>
      <c r="AC74">
        <f>Z74*10^-3</f>
        <v>8.0000000000000002E-3</v>
      </c>
      <c r="AD74">
        <f>AC74/AB74</f>
        <v>1.9200000000000002</v>
      </c>
      <c r="AE74">
        <f>AC74/(AB74*$M$6)</f>
        <v>139.38294010889291</v>
      </c>
      <c r="AF74" s="18">
        <f>(R74-W74)/R74</f>
        <v>0.7826258637709772</v>
      </c>
    </row>
    <row r="75" spans="4:32" x14ac:dyDescent="0.25">
      <c r="D75">
        <v>90</v>
      </c>
      <c r="E75">
        <f>15</f>
        <v>15</v>
      </c>
      <c r="F75">
        <v>7.8</v>
      </c>
      <c r="G75">
        <f>F75*10^-3</f>
        <v>7.7999999999999996E-3</v>
      </c>
      <c r="H75">
        <f>E75/3600</f>
        <v>4.1666666666666666E-3</v>
      </c>
      <c r="I75">
        <f>G75/H75</f>
        <v>1.8719999999999999</v>
      </c>
      <c r="J75">
        <f>G75/(H75*$M$6)</f>
        <v>135.89836660617058</v>
      </c>
      <c r="K75">
        <f>J75/$K$3</f>
        <v>9.0598911070780392</v>
      </c>
      <c r="Q75">
        <v>30</v>
      </c>
      <c r="R75">
        <v>1059</v>
      </c>
      <c r="S75">
        <v>0.63900000000000001</v>
      </c>
      <c r="T75">
        <v>20.399999999999999</v>
      </c>
      <c r="U75">
        <v>910</v>
      </c>
      <c r="V75">
        <v>0.50900000000000001</v>
      </c>
      <c r="W75">
        <v>236.9</v>
      </c>
      <c r="X75">
        <v>0.27860000000000001</v>
      </c>
      <c r="Y75">
        <v>20.399999999999999</v>
      </c>
      <c r="Z75">
        <v>7.9</v>
      </c>
      <c r="AA75">
        <f>15</f>
        <v>15</v>
      </c>
      <c r="AB75">
        <f>AA75/3600</f>
        <v>4.1666666666666666E-3</v>
      </c>
      <c r="AC75">
        <f>Z75*10^-3</f>
        <v>7.9000000000000008E-3</v>
      </c>
      <c r="AD75">
        <f>AC75/AB75</f>
        <v>1.8960000000000001</v>
      </c>
      <c r="AE75">
        <f>AC75/(AB75*$M$6)</f>
        <v>137.64065335753176</v>
      </c>
      <c r="AF75" s="18">
        <f>(R75-W75)/R75</f>
        <v>0.77629839471199247</v>
      </c>
    </row>
    <row r="76" spans="4:32" x14ac:dyDescent="0.25">
      <c r="D76">
        <v>120</v>
      </c>
      <c r="E76">
        <f>15</f>
        <v>15</v>
      </c>
      <c r="F76">
        <v>7.9</v>
      </c>
      <c r="G76">
        <f>F76*10^-3</f>
        <v>7.9000000000000008E-3</v>
      </c>
      <c r="H76">
        <f>E76/3600</f>
        <v>4.1666666666666666E-3</v>
      </c>
      <c r="I76">
        <f>G76/H76</f>
        <v>1.8960000000000001</v>
      </c>
      <c r="J76">
        <f>G76/(H76*$M$6)</f>
        <v>137.64065335753176</v>
      </c>
      <c r="K76">
        <f>J76/$K$3</f>
        <v>9.1760435571687839</v>
      </c>
      <c r="Q76">
        <v>60</v>
      </c>
      <c r="R76">
        <v>1102</v>
      </c>
      <c r="S76">
        <v>0.7</v>
      </c>
      <c r="T76">
        <v>20.9</v>
      </c>
      <c r="U76">
        <v>980</v>
      </c>
      <c r="V76">
        <v>0.57899999999999996</v>
      </c>
      <c r="W76">
        <v>242.6</v>
      </c>
      <c r="X76">
        <v>0.29310000000000003</v>
      </c>
      <c r="Y76">
        <v>20.8</v>
      </c>
      <c r="Z76">
        <v>7.4</v>
      </c>
      <c r="AA76">
        <f>15</f>
        <v>15</v>
      </c>
      <c r="AB76">
        <f>AA76/3600</f>
        <v>4.1666666666666666E-3</v>
      </c>
      <c r="AC76">
        <f>Z76*10^-3</f>
        <v>7.4000000000000003E-3</v>
      </c>
      <c r="AD76">
        <f>AC76/AB76</f>
        <v>1.776</v>
      </c>
      <c r="AE76">
        <f>AC76/(AB76*$M$6)</f>
        <v>128.92921960072596</v>
      </c>
      <c r="AF76" s="18">
        <f>(R76-W76)/R76</f>
        <v>0.7798548094373865</v>
      </c>
    </row>
    <row r="77" spans="4:32" x14ac:dyDescent="0.25">
      <c r="D77">
        <v>150</v>
      </c>
      <c r="E77">
        <f>15</f>
        <v>15</v>
      </c>
      <c r="F77">
        <v>7.8</v>
      </c>
      <c r="G77">
        <f>F77*10^-3</f>
        <v>7.7999999999999996E-3</v>
      </c>
      <c r="H77">
        <f>E77/3600</f>
        <v>4.1666666666666666E-3</v>
      </c>
      <c r="I77">
        <f>G77/H77</f>
        <v>1.8719999999999999</v>
      </c>
      <c r="J77">
        <f>G77/(H77*$M$6)</f>
        <v>135.89836660617058</v>
      </c>
      <c r="K77">
        <f>J77/$K$3</f>
        <v>9.0598911070780392</v>
      </c>
      <c r="Q77">
        <v>90</v>
      </c>
      <c r="R77">
        <v>1293</v>
      </c>
      <c r="S77">
        <v>0.72399999999999998</v>
      </c>
      <c r="T77">
        <v>21.3</v>
      </c>
      <c r="U77">
        <v>1250</v>
      </c>
      <c r="V77">
        <v>0.59599999999999997</v>
      </c>
      <c r="W77">
        <v>258.2</v>
      </c>
      <c r="X77">
        <v>0.3216</v>
      </c>
      <c r="Y77">
        <v>20.9</v>
      </c>
      <c r="Z77">
        <v>7.4</v>
      </c>
      <c r="AA77">
        <f>15</f>
        <v>15</v>
      </c>
      <c r="AB77">
        <f>AA77/3600</f>
        <v>4.1666666666666666E-3</v>
      </c>
      <c r="AC77">
        <f>Z77*10^-3</f>
        <v>7.4000000000000003E-3</v>
      </c>
      <c r="AD77">
        <f>AC77/AB77</f>
        <v>1.776</v>
      </c>
      <c r="AE77">
        <f>AC77/(AB77*$M$6)</f>
        <v>128.92921960072596</v>
      </c>
      <c r="AF77" s="18">
        <f>(R77-W77)/R77</f>
        <v>0.80030935808197989</v>
      </c>
    </row>
    <row r="78" spans="4:32" x14ac:dyDescent="0.25">
      <c r="D78">
        <v>180</v>
      </c>
      <c r="E78">
        <f>15</f>
        <v>15</v>
      </c>
      <c r="F78">
        <v>7.5</v>
      </c>
      <c r="G78">
        <f>F78*10^-3</f>
        <v>7.4999999999999997E-3</v>
      </c>
      <c r="H78">
        <f>E78/3600</f>
        <v>4.1666666666666666E-3</v>
      </c>
      <c r="I78">
        <f>G78/H78</f>
        <v>1.8</v>
      </c>
      <c r="J78">
        <f>G78/(H78*$M$6)</f>
        <v>130.67150635208711</v>
      </c>
      <c r="K78">
        <f>J78/$K$3</f>
        <v>8.7114337568058069</v>
      </c>
      <c r="Q78">
        <v>120</v>
      </c>
      <c r="R78">
        <v>1389</v>
      </c>
      <c r="S78">
        <v>0.82099999999999995</v>
      </c>
      <c r="T78">
        <v>21.7</v>
      </c>
      <c r="U78">
        <v>1280</v>
      </c>
      <c r="V78">
        <v>0.65600000000000003</v>
      </c>
      <c r="W78">
        <v>260.3</v>
      </c>
      <c r="X78">
        <v>0.31559999999999999</v>
      </c>
      <c r="Y78">
        <v>21.9</v>
      </c>
      <c r="Z78">
        <v>7.3</v>
      </c>
      <c r="AA78">
        <f>15</f>
        <v>15</v>
      </c>
      <c r="AB78">
        <f>AA78/3600</f>
        <v>4.1666666666666666E-3</v>
      </c>
      <c r="AC78">
        <f>Z78*10^-3</f>
        <v>7.3000000000000001E-3</v>
      </c>
      <c r="AD78">
        <f>AC78/AB78</f>
        <v>1.752</v>
      </c>
      <c r="AE78">
        <f>AC78/(AB78*$M$6)</f>
        <v>127.18693284936478</v>
      </c>
      <c r="AF78" s="18">
        <f>(R78-W78)/R78</f>
        <v>0.81259899208063358</v>
      </c>
    </row>
    <row r="79" spans="4:32" x14ac:dyDescent="0.25">
      <c r="D79">
        <v>210</v>
      </c>
      <c r="E79">
        <f>15</f>
        <v>15</v>
      </c>
      <c r="F79">
        <v>7.5</v>
      </c>
      <c r="G79">
        <f>F79*10^-3</f>
        <v>7.4999999999999997E-3</v>
      </c>
      <c r="H79">
        <f>E79/3600</f>
        <v>4.1666666666666666E-3</v>
      </c>
      <c r="I79">
        <f>G79/H79</f>
        <v>1.8</v>
      </c>
      <c r="J79">
        <f>G79/(H79*$M$6)</f>
        <v>130.67150635208711</v>
      </c>
      <c r="K79">
        <f>J79/$K$3</f>
        <v>8.7114337568058069</v>
      </c>
      <c r="Q79">
        <v>150</v>
      </c>
      <c r="R79">
        <v>1433</v>
      </c>
      <c r="S79">
        <v>0.89500000000000002</v>
      </c>
      <c r="T79">
        <v>22.2</v>
      </c>
      <c r="U79">
        <v>1359</v>
      </c>
      <c r="V79">
        <v>0.78900000000000003</v>
      </c>
      <c r="W79">
        <v>267.3</v>
      </c>
      <c r="X79">
        <v>0.33689999999999998</v>
      </c>
      <c r="Y79">
        <v>22.1</v>
      </c>
      <c r="Z79">
        <v>7.3</v>
      </c>
      <c r="AA79">
        <f>15</f>
        <v>15</v>
      </c>
      <c r="AB79">
        <f>AA79/3600</f>
        <v>4.1666666666666666E-3</v>
      </c>
      <c r="AC79">
        <f>Z79*10^-3</f>
        <v>7.3000000000000001E-3</v>
      </c>
      <c r="AD79">
        <f>AC79/AB79</f>
        <v>1.752</v>
      </c>
      <c r="AE79">
        <f>AC79/(AB79*$M$6)</f>
        <v>127.18693284936478</v>
      </c>
      <c r="AF79" s="18">
        <f>(R79-W79)/R79</f>
        <v>0.81346824842986742</v>
      </c>
    </row>
    <row r="80" spans="4:32" x14ac:dyDescent="0.25">
      <c r="D80">
        <v>240</v>
      </c>
      <c r="E80">
        <f>15</f>
        <v>15</v>
      </c>
      <c r="F80">
        <v>7.5</v>
      </c>
      <c r="G80">
        <f>F80*10^-3</f>
        <v>7.4999999999999997E-3</v>
      </c>
      <c r="H80">
        <f>E80/3600</f>
        <v>4.1666666666666666E-3</v>
      </c>
      <c r="I80">
        <f>G80/H80</f>
        <v>1.8</v>
      </c>
      <c r="J80">
        <f>G80/(H80*$M$6)</f>
        <v>130.67150635208711</v>
      </c>
      <c r="K80">
        <f>J80/$K$3</f>
        <v>8.7114337568058069</v>
      </c>
      <c r="Q80">
        <v>180</v>
      </c>
      <c r="R80">
        <v>1598</v>
      </c>
      <c r="S80">
        <v>0.91200000000000003</v>
      </c>
      <c r="T80">
        <v>22.7</v>
      </c>
      <c r="U80">
        <v>1599</v>
      </c>
      <c r="V80">
        <v>0.88900000000000001</v>
      </c>
      <c r="W80">
        <v>274.8</v>
      </c>
      <c r="X80">
        <v>0.34520000000000001</v>
      </c>
      <c r="Y80">
        <v>22.3</v>
      </c>
      <c r="Z80">
        <v>7.2</v>
      </c>
      <c r="AA80">
        <f>15</f>
        <v>15</v>
      </c>
      <c r="AB80">
        <f>AA80/3600</f>
        <v>4.1666666666666666E-3</v>
      </c>
      <c r="AC80">
        <f>Z80*10^-3</f>
        <v>7.2000000000000007E-3</v>
      </c>
      <c r="AD80">
        <f>AC80/AB80</f>
        <v>1.7280000000000002</v>
      </c>
      <c r="AE80">
        <f>AC80/(AB80*$M$6)</f>
        <v>125.44464609800363</v>
      </c>
      <c r="AF80" s="18">
        <f>(R80-W80)/R80</f>
        <v>0.82803504380475601</v>
      </c>
    </row>
    <row r="81" spans="4:32" x14ac:dyDescent="0.25">
      <c r="J81" s="1">
        <f>AVERAGE(J72:J80)</f>
        <v>135.31760435571687</v>
      </c>
      <c r="K81" s="1">
        <f>AVERAGE(K72:K80)</f>
        <v>9.0211736237144553</v>
      </c>
      <c r="Q81">
        <v>210</v>
      </c>
      <c r="R81">
        <v>1836</v>
      </c>
      <c r="S81">
        <v>1.125</v>
      </c>
      <c r="T81">
        <v>23.2</v>
      </c>
      <c r="U81">
        <v>1690</v>
      </c>
      <c r="V81">
        <v>0.996</v>
      </c>
      <c r="W81">
        <v>283.39999999999998</v>
      </c>
      <c r="X81">
        <v>0.39650000000000002</v>
      </c>
      <c r="Y81">
        <v>22.4</v>
      </c>
      <c r="Z81">
        <v>7.2</v>
      </c>
      <c r="AA81">
        <f>15</f>
        <v>15</v>
      </c>
      <c r="AB81">
        <f>AA81/3600</f>
        <v>4.1666666666666666E-3</v>
      </c>
      <c r="AC81">
        <f>Z81*10^-3</f>
        <v>7.2000000000000007E-3</v>
      </c>
      <c r="AD81">
        <f>AC81/AB81</f>
        <v>1.7280000000000002</v>
      </c>
      <c r="AE81">
        <f>AC81/(AB81*$M$6)</f>
        <v>125.44464609800363</v>
      </c>
      <c r="AF81" s="18">
        <f>(R81-W81)/R81</f>
        <v>0.84564270152505439</v>
      </c>
    </row>
    <row r="82" spans="4:32" x14ac:dyDescent="0.25">
      <c r="Q82">
        <v>240</v>
      </c>
      <c r="R82">
        <v>1408</v>
      </c>
      <c r="S82">
        <v>0.85599999999999998</v>
      </c>
      <c r="T82">
        <v>23.5</v>
      </c>
      <c r="U82">
        <v>1802</v>
      </c>
      <c r="V82">
        <v>1.119</v>
      </c>
      <c r="W82">
        <v>294.3</v>
      </c>
      <c r="X82">
        <v>0.4123</v>
      </c>
      <c r="Y82">
        <v>22.6</v>
      </c>
      <c r="Z82">
        <v>7.1</v>
      </c>
      <c r="AA82">
        <f>15</f>
        <v>15</v>
      </c>
      <c r="AB82">
        <f>AA82/3600</f>
        <v>4.1666666666666666E-3</v>
      </c>
      <c r="AC82">
        <f>Z82*10^-3</f>
        <v>7.0999999999999995E-3</v>
      </c>
      <c r="AD82">
        <f>AC82/AB82</f>
        <v>1.704</v>
      </c>
      <c r="AE82">
        <f>AC82/(AB82*$M$6)</f>
        <v>123.70235934664245</v>
      </c>
      <c r="AF82" s="18">
        <f>(R82-W82)/R82</f>
        <v>0.79098011363636367</v>
      </c>
    </row>
    <row r="83" spans="4:32" x14ac:dyDescent="0.25">
      <c r="Q83">
        <v>270</v>
      </c>
      <c r="R83">
        <v>1523</v>
      </c>
      <c r="S83">
        <v>0.90200000000000002</v>
      </c>
      <c r="T83">
        <v>24.1</v>
      </c>
      <c r="U83">
        <v>1997</v>
      </c>
      <c r="V83">
        <v>1.3280000000000001</v>
      </c>
      <c r="W83">
        <v>300.10000000000002</v>
      </c>
      <c r="X83">
        <v>0.42559999999999998</v>
      </c>
      <c r="Y83">
        <v>22.9</v>
      </c>
      <c r="Z83">
        <v>7.1</v>
      </c>
      <c r="AA83">
        <f>15</f>
        <v>15</v>
      </c>
      <c r="AB83">
        <f>AA83/3600</f>
        <v>4.1666666666666666E-3</v>
      </c>
      <c r="AC83">
        <f>Z83*10^-3</f>
        <v>7.0999999999999995E-3</v>
      </c>
      <c r="AD83">
        <f>AC83/AB83</f>
        <v>1.704</v>
      </c>
      <c r="AE83">
        <f>AC83/(AB83*$M$6)</f>
        <v>123.70235934664245</v>
      </c>
      <c r="AF83" s="18">
        <f>(R83-W83)/R83</f>
        <v>0.80295469468154967</v>
      </c>
    </row>
    <row r="84" spans="4:32" x14ac:dyDescent="0.25">
      <c r="AE84" s="1">
        <f>AVERAGE(AE74:AE83)</f>
        <v>128.75499092558982</v>
      </c>
      <c r="AF84" s="19">
        <f>AVERAGE(AF74:AF83)</f>
        <v>0.8032768220160561</v>
      </c>
    </row>
    <row r="94" spans="4:32" x14ac:dyDescent="0.25">
      <c r="D94" s="1" t="s">
        <v>0</v>
      </c>
      <c r="E94" s="1" t="s">
        <v>1</v>
      </c>
      <c r="F94" s="1" t="s">
        <v>2</v>
      </c>
      <c r="G94" s="13" t="s">
        <v>3</v>
      </c>
      <c r="H94" s="13" t="s">
        <v>15</v>
      </c>
      <c r="I94" s="13" t="s">
        <v>16</v>
      </c>
      <c r="J94" s="13" t="s">
        <v>17</v>
      </c>
      <c r="K94" s="13" t="s">
        <v>44</v>
      </c>
      <c r="R94" s="1" t="s">
        <v>4</v>
      </c>
      <c r="U94" s="1" t="s">
        <v>5</v>
      </c>
      <c r="W94" s="1" t="s">
        <v>6</v>
      </c>
    </row>
    <row r="95" spans="4:32" x14ac:dyDescent="0.25">
      <c r="D95">
        <v>0</v>
      </c>
      <c r="E95">
        <v>15</v>
      </c>
      <c r="F95">
        <f>6.2</f>
        <v>6.2</v>
      </c>
      <c r="G95">
        <f>F95*10^-3</f>
        <v>6.2000000000000006E-3</v>
      </c>
      <c r="H95">
        <f>E95/3600</f>
        <v>4.1666666666666666E-3</v>
      </c>
      <c r="I95">
        <f>G95/H95</f>
        <v>1.4880000000000002</v>
      </c>
      <c r="J95">
        <f>G95/(H95*$M$6)</f>
        <v>108.02177858439202</v>
      </c>
      <c r="K95">
        <f>J95/$K$3</f>
        <v>7.2014519056261346</v>
      </c>
      <c r="Q95" t="s">
        <v>0</v>
      </c>
      <c r="R95" t="s">
        <v>36</v>
      </c>
      <c r="S95" t="s">
        <v>8</v>
      </c>
      <c r="T95" t="s">
        <v>9</v>
      </c>
      <c r="U95" t="s">
        <v>35</v>
      </c>
      <c r="V95" t="s">
        <v>8</v>
      </c>
      <c r="W95" t="s">
        <v>7</v>
      </c>
      <c r="X95" t="s">
        <v>8</v>
      </c>
      <c r="Y95" t="s">
        <v>9</v>
      </c>
      <c r="Z95" t="s">
        <v>10</v>
      </c>
      <c r="AA95" t="s">
        <v>1</v>
      </c>
      <c r="AB95" s="13" t="s">
        <v>15</v>
      </c>
      <c r="AC95" s="13" t="s">
        <v>19</v>
      </c>
      <c r="AD95" s="13" t="s">
        <v>20</v>
      </c>
      <c r="AE95" s="13" t="s">
        <v>21</v>
      </c>
      <c r="AF95" s="13" t="s">
        <v>34</v>
      </c>
    </row>
    <row r="96" spans="4:32" x14ac:dyDescent="0.25">
      <c r="D96">
        <v>30</v>
      </c>
      <c r="E96">
        <v>15</v>
      </c>
      <c r="F96">
        <f>6.2</f>
        <v>6.2</v>
      </c>
      <c r="G96">
        <f>F96*10^-3</f>
        <v>6.2000000000000006E-3</v>
      </c>
      <c r="H96">
        <f>E96/3600</f>
        <v>4.1666666666666666E-3</v>
      </c>
      <c r="I96">
        <f>G96/H96</f>
        <v>1.4880000000000002</v>
      </c>
      <c r="J96">
        <f>G96/(H96*$M$6)</f>
        <v>108.02177858439202</v>
      </c>
      <c r="K96">
        <f>J96/$K$3</f>
        <v>7.2014519056261346</v>
      </c>
      <c r="Q96">
        <v>0</v>
      </c>
      <c r="R96">
        <f>0.864*10^3</f>
        <v>864</v>
      </c>
      <c r="S96">
        <f>0.633</f>
        <v>0.63300000000000001</v>
      </c>
      <c r="T96">
        <f>19.1</f>
        <v>19.100000000000001</v>
      </c>
      <c r="U96">
        <f>434.6</f>
        <v>434.6</v>
      </c>
      <c r="V96">
        <f>0.336</f>
        <v>0.33600000000000002</v>
      </c>
      <c r="W96">
        <f>36.1</f>
        <v>36.1</v>
      </c>
      <c r="X96">
        <f>0.0286</f>
        <v>2.86E-2</v>
      </c>
      <c r="Y96">
        <f>16.8</f>
        <v>16.8</v>
      </c>
      <c r="Z96">
        <v>6.1</v>
      </c>
      <c r="AA96">
        <f>15</f>
        <v>15</v>
      </c>
      <c r="AB96">
        <f>AA96/3600</f>
        <v>4.1666666666666666E-3</v>
      </c>
      <c r="AC96">
        <f>Z96*10^-3</f>
        <v>6.0999999999999995E-3</v>
      </c>
      <c r="AD96">
        <f>AC96/AB96</f>
        <v>1.464</v>
      </c>
      <c r="AE96">
        <f>AC96/(AB96*$M$6)</f>
        <v>106.27949183303083</v>
      </c>
      <c r="AF96" s="18">
        <f>(R96-W96)/R96</f>
        <v>0.95821759259259254</v>
      </c>
    </row>
    <row r="97" spans="4:32" x14ac:dyDescent="0.25">
      <c r="D97">
        <v>60</v>
      </c>
      <c r="E97">
        <v>15</v>
      </c>
      <c r="F97">
        <f>6.1</f>
        <v>6.1</v>
      </c>
      <c r="G97">
        <f>F97*10^-3</f>
        <v>6.0999999999999995E-3</v>
      </c>
      <c r="H97">
        <f>E97/3600</f>
        <v>4.1666666666666666E-3</v>
      </c>
      <c r="I97">
        <f>G97/H97</f>
        <v>1.464</v>
      </c>
      <c r="J97">
        <f>G97/(H97*$M$6)</f>
        <v>106.27949183303083</v>
      </c>
      <c r="K97">
        <f>J97/$K$3</f>
        <v>7.085299455535389</v>
      </c>
      <c r="Q97">
        <v>30</v>
      </c>
      <c r="R97">
        <f>0.892*10^3</f>
        <v>892</v>
      </c>
      <c r="S97">
        <f>0.643</f>
        <v>0.64300000000000002</v>
      </c>
      <c r="T97">
        <f>19.9</f>
        <v>19.899999999999999</v>
      </c>
      <c r="U97">
        <f>464.3</f>
        <v>464.3</v>
      </c>
      <c r="V97">
        <f>0.3162</f>
        <v>0.31619999999999998</v>
      </c>
      <c r="W97">
        <f>65.1</f>
        <v>65.099999999999994</v>
      </c>
      <c r="X97">
        <f>0.0495</f>
        <v>4.9500000000000002E-2</v>
      </c>
      <c r="Y97">
        <f>16.8</f>
        <v>16.8</v>
      </c>
      <c r="Z97">
        <v>6.1</v>
      </c>
      <c r="AA97">
        <f>15</f>
        <v>15</v>
      </c>
      <c r="AB97">
        <f>AA97/3600</f>
        <v>4.1666666666666666E-3</v>
      </c>
      <c r="AC97">
        <f>Z97*10^-3</f>
        <v>6.0999999999999995E-3</v>
      </c>
      <c r="AD97">
        <f>AC97/AB97</f>
        <v>1.464</v>
      </c>
      <c r="AE97">
        <f>AC97/(AB97*$M$6)</f>
        <v>106.27949183303083</v>
      </c>
      <c r="AF97" s="18">
        <f>(R97-W97)/R97</f>
        <v>0.92701793721973091</v>
      </c>
    </row>
    <row r="98" spans="4:32" x14ac:dyDescent="0.25">
      <c r="D98">
        <v>90</v>
      </c>
      <c r="E98">
        <v>15</v>
      </c>
      <c r="F98">
        <f>6.2</f>
        <v>6.2</v>
      </c>
      <c r="G98">
        <f>F98*10^-3</f>
        <v>6.2000000000000006E-3</v>
      </c>
      <c r="H98">
        <f>E98/3600</f>
        <v>4.1666666666666666E-3</v>
      </c>
      <c r="I98">
        <f>G98/H98</f>
        <v>1.4880000000000002</v>
      </c>
      <c r="J98">
        <f>G98/(H98*$M$6)</f>
        <v>108.02177858439202</v>
      </c>
      <c r="K98">
        <f>J98/$K$3</f>
        <v>7.2014519056261346</v>
      </c>
      <c r="Q98">
        <v>60</v>
      </c>
      <c r="R98">
        <f>0.918*10^3</f>
        <v>918</v>
      </c>
      <c r="S98">
        <f>0.651</f>
        <v>0.65100000000000002</v>
      </c>
      <c r="T98">
        <f>20.7</f>
        <v>20.7</v>
      </c>
      <c r="U98">
        <f>0.886</f>
        <v>0.88600000000000001</v>
      </c>
      <c r="V98">
        <f>0.631</f>
        <v>0.63100000000000001</v>
      </c>
      <c r="W98">
        <f>114.4</f>
        <v>114.4</v>
      </c>
      <c r="X98">
        <f>0.0875</f>
        <v>8.7499999999999994E-2</v>
      </c>
      <c r="Y98">
        <f>16.9</f>
        <v>16.899999999999999</v>
      </c>
      <c r="Z98">
        <v>6.2</v>
      </c>
      <c r="AA98">
        <f>15</f>
        <v>15</v>
      </c>
      <c r="AB98">
        <f>AA98/3600</f>
        <v>4.1666666666666666E-3</v>
      </c>
      <c r="AC98">
        <f>Z98*10^-3</f>
        <v>6.2000000000000006E-3</v>
      </c>
      <c r="AD98">
        <f>AC98/AB98</f>
        <v>1.4880000000000002</v>
      </c>
      <c r="AE98">
        <f>AC98/(AB98*$M$6)</f>
        <v>108.02177858439202</v>
      </c>
      <c r="AF98" s="18">
        <f>(R98-W98)/R98</f>
        <v>0.87538126361655777</v>
      </c>
    </row>
    <row r="99" spans="4:32" x14ac:dyDescent="0.25">
      <c r="D99">
        <v>120</v>
      </c>
      <c r="E99">
        <v>15</v>
      </c>
      <c r="F99">
        <f>6.4</f>
        <v>6.4</v>
      </c>
      <c r="G99">
        <f>F99*10^-3</f>
        <v>6.4000000000000003E-3</v>
      </c>
      <c r="H99">
        <f>E99/3600</f>
        <v>4.1666666666666666E-3</v>
      </c>
      <c r="I99">
        <f>G99/H99</f>
        <v>1.536</v>
      </c>
      <c r="J99">
        <f>G99/(H99*$M$6)</f>
        <v>111.50635208711434</v>
      </c>
      <c r="K99">
        <f>J99/$K$3</f>
        <v>7.4337568058076222</v>
      </c>
      <c r="Q99">
        <v>90</v>
      </c>
      <c r="R99">
        <f>0.531*10^3</f>
        <v>531</v>
      </c>
      <c r="S99">
        <f>0.659</f>
        <v>0.65900000000000003</v>
      </c>
      <c r="T99">
        <f>21.5</f>
        <v>21.5</v>
      </c>
      <c r="U99">
        <f>455</f>
        <v>455</v>
      </c>
      <c r="V99">
        <f>0.3282</f>
        <v>0.32819999999999999</v>
      </c>
      <c r="W99">
        <f>62.8</f>
        <v>62.8</v>
      </c>
      <c r="X99">
        <f>0.0453</f>
        <v>4.53E-2</v>
      </c>
      <c r="Y99">
        <f>17.2</f>
        <v>17.2</v>
      </c>
      <c r="Z99">
        <v>6.1</v>
      </c>
      <c r="AA99">
        <f>15</f>
        <v>15</v>
      </c>
      <c r="AB99">
        <f>AA99/3600</f>
        <v>4.1666666666666666E-3</v>
      </c>
      <c r="AC99">
        <f>Z99*10^-3</f>
        <v>6.0999999999999995E-3</v>
      </c>
      <c r="AD99">
        <f>AC99/AB99</f>
        <v>1.464</v>
      </c>
      <c r="AE99">
        <f>AC99/(AB99*$M$6)</f>
        <v>106.27949183303083</v>
      </c>
      <c r="AF99" s="18">
        <f>(R99-W99)/R99</f>
        <v>0.88173258003766475</v>
      </c>
    </row>
    <row r="100" spans="4:32" x14ac:dyDescent="0.25">
      <c r="D100">
        <v>150</v>
      </c>
      <c r="E100">
        <v>15</v>
      </c>
      <c r="F100">
        <v>6.4</v>
      </c>
      <c r="G100">
        <f>F100*10^-3</f>
        <v>6.4000000000000003E-3</v>
      </c>
      <c r="H100">
        <f>E100/3600</f>
        <v>4.1666666666666666E-3</v>
      </c>
      <c r="I100">
        <f>G100/H100</f>
        <v>1.536</v>
      </c>
      <c r="J100">
        <f>G100/(H100*$M$6)</f>
        <v>111.50635208711434</v>
      </c>
      <c r="K100">
        <f>J100/$K$3</f>
        <v>7.4337568058076222</v>
      </c>
      <c r="Q100">
        <v>120</v>
      </c>
      <c r="R100">
        <f>0.993*10^3</f>
        <v>993</v>
      </c>
      <c r="S100">
        <f>0.67</f>
        <v>0.67</v>
      </c>
      <c r="T100">
        <f>21.9</f>
        <v>21.9</v>
      </c>
      <c r="U100">
        <f>466.9</f>
        <v>466.9</v>
      </c>
      <c r="V100">
        <f>0.321</f>
        <v>0.32100000000000001</v>
      </c>
      <c r="W100">
        <f>59</f>
        <v>59</v>
      </c>
      <c r="X100">
        <f>0.047</f>
        <v>4.7E-2</v>
      </c>
      <c r="Y100">
        <f>17.2</f>
        <v>17.2</v>
      </c>
      <c r="Z100">
        <v>6.1</v>
      </c>
      <c r="AA100">
        <f>15</f>
        <v>15</v>
      </c>
      <c r="AB100">
        <f>AA100/3600</f>
        <v>4.1666666666666666E-3</v>
      </c>
      <c r="AC100">
        <f>Z100*10^-3</f>
        <v>6.0999999999999995E-3</v>
      </c>
      <c r="AD100">
        <f>AC100/AB100</f>
        <v>1.464</v>
      </c>
      <c r="AE100">
        <f>AC100/(AB100*$M$6)</f>
        <v>106.27949183303083</v>
      </c>
      <c r="AF100" s="18">
        <f>(R100-W100)/R100</f>
        <v>0.94058408862034237</v>
      </c>
    </row>
    <row r="101" spans="4:32" x14ac:dyDescent="0.25">
      <c r="D101">
        <v>180</v>
      </c>
      <c r="E101">
        <v>15</v>
      </c>
      <c r="F101">
        <v>6.4</v>
      </c>
      <c r="G101">
        <f>F101*10^-3</f>
        <v>6.4000000000000003E-3</v>
      </c>
      <c r="H101">
        <f>E101/3600</f>
        <v>4.1666666666666666E-3</v>
      </c>
      <c r="I101">
        <f>G101/H101</f>
        <v>1.536</v>
      </c>
      <c r="J101">
        <f>G101/(H101*$M$6)</f>
        <v>111.50635208711434</v>
      </c>
      <c r="K101">
        <f>J101/$K$3</f>
        <v>7.4337568058076222</v>
      </c>
      <c r="Q101">
        <v>150</v>
      </c>
      <c r="R101">
        <f>0.998*10^3</f>
        <v>998</v>
      </c>
      <c r="S101">
        <f>0.681</f>
        <v>0.68100000000000005</v>
      </c>
      <c r="T101">
        <f>22.4</f>
        <v>22.4</v>
      </c>
      <c r="U101">
        <f>464.1</f>
        <v>464.1</v>
      </c>
      <c r="V101">
        <f>0.3225</f>
        <v>0.32250000000000001</v>
      </c>
      <c r="W101">
        <f>66.7</f>
        <v>66.7</v>
      </c>
      <c r="X101">
        <f>0.0486</f>
        <v>4.8599999999999997E-2</v>
      </c>
      <c r="Y101">
        <f>17.2</f>
        <v>17.2</v>
      </c>
      <c r="Z101">
        <v>6</v>
      </c>
      <c r="AA101">
        <f>15</f>
        <v>15</v>
      </c>
      <c r="AB101">
        <f>AA101/3600</f>
        <v>4.1666666666666666E-3</v>
      </c>
      <c r="AC101">
        <f>Z101*10^-3</f>
        <v>6.0000000000000001E-3</v>
      </c>
      <c r="AD101">
        <f>AC101/AB101</f>
        <v>1.44</v>
      </c>
      <c r="AE101">
        <f>AC101/(AB101*$M$6)</f>
        <v>104.53720508166968</v>
      </c>
      <c r="AF101" s="18">
        <f>(R101-W101)/R101</f>
        <v>0.93316633266533067</v>
      </c>
    </row>
    <row r="102" spans="4:32" x14ac:dyDescent="0.25">
      <c r="D102">
        <v>210</v>
      </c>
      <c r="E102">
        <v>15</v>
      </c>
      <c r="F102">
        <v>6.3</v>
      </c>
      <c r="G102">
        <f>F102*10^-3</f>
        <v>6.3E-3</v>
      </c>
      <c r="H102">
        <f>E102/3600</f>
        <v>4.1666666666666666E-3</v>
      </c>
      <c r="I102">
        <f>G102/H102</f>
        <v>1.512</v>
      </c>
      <c r="J102">
        <f>G102/(H102*$M$6)</f>
        <v>109.76406533575317</v>
      </c>
      <c r="K102">
        <f>J102/$K$3</f>
        <v>7.3176043557168784</v>
      </c>
      <c r="Q102">
        <v>180</v>
      </c>
      <c r="R102">
        <f>0.967*10^3</f>
        <v>967</v>
      </c>
      <c r="S102">
        <f>0.691</f>
        <v>0.69099999999999995</v>
      </c>
      <c r="T102">
        <f>22.5</f>
        <v>22.5</v>
      </c>
      <c r="U102">
        <f>464.7</f>
        <v>464.7</v>
      </c>
      <c r="V102">
        <f>0.3181</f>
        <v>0.31809999999999999</v>
      </c>
      <c r="W102">
        <f>132.8</f>
        <v>132.80000000000001</v>
      </c>
      <c r="X102">
        <f>0.0996</f>
        <v>9.9599999999999994E-2</v>
      </c>
      <c r="Y102">
        <f>17.3</f>
        <v>17.3</v>
      </c>
      <c r="Z102">
        <v>6.1</v>
      </c>
      <c r="AA102">
        <f>15</f>
        <v>15</v>
      </c>
      <c r="AB102">
        <f>AA102/3600</f>
        <v>4.1666666666666666E-3</v>
      </c>
      <c r="AC102">
        <f>Z102*10^-3</f>
        <v>6.0999999999999995E-3</v>
      </c>
      <c r="AD102">
        <f>AC102/AB102</f>
        <v>1.464</v>
      </c>
      <c r="AE102">
        <f>AC102/(AB102*$M$6)</f>
        <v>106.27949183303083</v>
      </c>
      <c r="AF102" s="18">
        <f>(R102-W102)/R102</f>
        <v>0.86266804550155118</v>
      </c>
    </row>
    <row r="103" spans="4:32" x14ac:dyDescent="0.25">
      <c r="D103">
        <v>240</v>
      </c>
      <c r="E103">
        <v>15</v>
      </c>
      <c r="F103">
        <v>6.2</v>
      </c>
      <c r="G103">
        <f>F103*10^-3</f>
        <v>6.2000000000000006E-3</v>
      </c>
      <c r="H103">
        <f>E103/3600</f>
        <v>4.1666666666666666E-3</v>
      </c>
      <c r="I103">
        <f>G103/H103</f>
        <v>1.4880000000000002</v>
      </c>
      <c r="J103">
        <f>G103/(H103*$M$6)</f>
        <v>108.02177858439202</v>
      </c>
      <c r="K103">
        <f>J103/$K$3</f>
        <v>7.2014519056261346</v>
      </c>
      <c r="Q103">
        <v>210</v>
      </c>
      <c r="R103">
        <f>1.046*10^3</f>
        <v>1046</v>
      </c>
      <c r="S103">
        <f>0.704</f>
        <v>0.70399999999999996</v>
      </c>
      <c r="T103">
        <f>23.1</f>
        <v>23.1</v>
      </c>
      <c r="U103">
        <f>480</f>
        <v>480</v>
      </c>
      <c r="V103">
        <f>0.3279</f>
        <v>0.32790000000000002</v>
      </c>
      <c r="W103">
        <f>145.8</f>
        <v>145.80000000000001</v>
      </c>
      <c r="X103">
        <f>0.1068</f>
        <v>0.10680000000000001</v>
      </c>
      <c r="Y103">
        <f>17.4</f>
        <v>17.399999999999999</v>
      </c>
      <c r="Z103">
        <v>5.9</v>
      </c>
      <c r="AA103">
        <f>15</f>
        <v>15</v>
      </c>
      <c r="AB103">
        <f>AA103/3600</f>
        <v>4.1666666666666666E-3</v>
      </c>
      <c r="AC103">
        <f>Z103*10^-3</f>
        <v>5.9000000000000007E-3</v>
      </c>
      <c r="AD103">
        <f>AC103/AB103</f>
        <v>1.4160000000000001</v>
      </c>
      <c r="AE103">
        <f>AC103/(AB103*$M$6)</f>
        <v>102.79491833030853</v>
      </c>
      <c r="AF103" s="18">
        <f>(R103-W103)/R103</f>
        <v>0.86061185468451251</v>
      </c>
    </row>
    <row r="104" spans="4:32" x14ac:dyDescent="0.25">
      <c r="D104">
        <v>270</v>
      </c>
      <c r="E104">
        <v>15</v>
      </c>
      <c r="F104">
        <f>6.1</f>
        <v>6.1</v>
      </c>
      <c r="G104">
        <f>F104*10^-3</f>
        <v>6.0999999999999995E-3</v>
      </c>
      <c r="H104">
        <f>E104/3600</f>
        <v>4.1666666666666666E-3</v>
      </c>
      <c r="I104">
        <f>G104/H104</f>
        <v>1.464</v>
      </c>
      <c r="J104">
        <f>G104/(H104*$M$6)</f>
        <v>106.27949183303083</v>
      </c>
      <c r="K104">
        <f>J104/$K$3</f>
        <v>7.085299455535389</v>
      </c>
      <c r="Q104">
        <v>240</v>
      </c>
      <c r="R104">
        <f>1.064*10^3</f>
        <v>1064</v>
      </c>
      <c r="S104">
        <f>0.71</f>
        <v>0.71</v>
      </c>
      <c r="T104">
        <f>23.4</f>
        <v>23.4</v>
      </c>
      <c r="U104">
        <f>490.6</f>
        <v>490.6</v>
      </c>
      <c r="V104">
        <f>0.3558</f>
        <v>0.35580000000000001</v>
      </c>
      <c r="W104">
        <f>155.8</f>
        <v>155.80000000000001</v>
      </c>
      <c r="X104">
        <f>0.1213</f>
        <v>0.12130000000000001</v>
      </c>
      <c r="Y104">
        <f>17.5</f>
        <v>17.5</v>
      </c>
      <c r="Z104">
        <v>6</v>
      </c>
      <c r="AA104">
        <f>15</f>
        <v>15</v>
      </c>
      <c r="AB104">
        <f>AA104/3600</f>
        <v>4.1666666666666666E-3</v>
      </c>
      <c r="AC104">
        <f>Z104*10^-3</f>
        <v>6.0000000000000001E-3</v>
      </c>
      <c r="AD104">
        <f>AC104/AB104</f>
        <v>1.44</v>
      </c>
      <c r="AE104">
        <f>AC104/(AB104*$M$6)</f>
        <v>104.53720508166968</v>
      </c>
      <c r="AF104" s="18">
        <f>(R104-W104)/R104</f>
        <v>0.85357142857142865</v>
      </c>
    </row>
    <row r="105" spans="4:32" x14ac:dyDescent="0.25">
      <c r="J105" s="1">
        <f>AVERAGE(J95:J104)</f>
        <v>108.89292196007258</v>
      </c>
      <c r="K105" s="1">
        <f>AVERAGE(K95:K104)</f>
        <v>7.2595281306715052</v>
      </c>
      <c r="Q105">
        <v>270</v>
      </c>
      <c r="R105">
        <f>0.0974*10^3</f>
        <v>97.4</v>
      </c>
      <c r="S105">
        <f>0.465</f>
        <v>0.46500000000000002</v>
      </c>
      <c r="T105">
        <f>23.8</f>
        <v>23.8</v>
      </c>
      <c r="U105">
        <f>490.3</f>
        <v>490.3</v>
      </c>
      <c r="V105">
        <f>0.349</f>
        <v>0.34899999999999998</v>
      </c>
      <c r="W105">
        <f>157.7</f>
        <v>157.69999999999999</v>
      </c>
      <c r="X105">
        <f>0.1228</f>
        <v>0.12280000000000001</v>
      </c>
      <c r="Y105">
        <f>17.5</f>
        <v>17.5</v>
      </c>
      <c r="Z105">
        <v>5.9</v>
      </c>
      <c r="AA105">
        <f>15</f>
        <v>15</v>
      </c>
      <c r="AB105">
        <f>AA105/3600</f>
        <v>4.1666666666666666E-3</v>
      </c>
      <c r="AC105">
        <f>Z105*10^-3</f>
        <v>5.9000000000000007E-3</v>
      </c>
      <c r="AD105">
        <f>AC105/AB105</f>
        <v>1.4160000000000001</v>
      </c>
      <c r="AE105">
        <f>AC105/(AB105*$M$6)</f>
        <v>102.79491833030853</v>
      </c>
      <c r="AF105" s="18">
        <f>(R105-W105)/R105</f>
        <v>-0.61909650924024617</v>
      </c>
    </row>
    <row r="106" spans="4:32" x14ac:dyDescent="0.25">
      <c r="Q106">
        <v>310</v>
      </c>
      <c r="R106">
        <f>1.093*10^3</f>
        <v>1093</v>
      </c>
      <c r="S106">
        <f>0.584</f>
        <v>0.58399999999999996</v>
      </c>
      <c r="T106">
        <f>23.8</f>
        <v>23.8</v>
      </c>
      <c r="U106">
        <f>561</f>
        <v>561</v>
      </c>
      <c r="V106">
        <f>0.361</f>
        <v>0.36099999999999999</v>
      </c>
      <c r="W106">
        <f>164.4</f>
        <v>164.4</v>
      </c>
      <c r="X106">
        <f>0.1266</f>
        <v>0.12659999999999999</v>
      </c>
      <c r="Y106">
        <f>17.5</f>
        <v>17.5</v>
      </c>
      <c r="Z106">
        <v>5.9</v>
      </c>
      <c r="AA106">
        <f>15</f>
        <v>15</v>
      </c>
      <c r="AB106">
        <f>AA106/3600</f>
        <v>4.1666666666666666E-3</v>
      </c>
      <c r="AC106">
        <f>Z106*10^-3</f>
        <v>5.9000000000000007E-3</v>
      </c>
      <c r="AD106">
        <f>AC106/AB106</f>
        <v>1.4160000000000001</v>
      </c>
      <c r="AE106">
        <f>AC106/(AB106*$M$6)</f>
        <v>102.79491833030853</v>
      </c>
      <c r="AF106" s="18">
        <f>(R106-W106)/R106</f>
        <v>0.84958828911253437</v>
      </c>
    </row>
    <row r="107" spans="4:32" x14ac:dyDescent="0.25">
      <c r="AE107" s="1">
        <f>AVERAGE(AE96:AE106)</f>
        <v>105.17076390034646</v>
      </c>
      <c r="AF107" s="19">
        <f>AVERAGE(AF96:AF106)</f>
        <v>0.75667662758018173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4:BU166"/>
  <sheetViews>
    <sheetView tabSelected="1" topLeftCell="AL1" zoomScale="60" zoomScaleNormal="60" workbookViewId="0">
      <selection activeCell="AR30" sqref="AR30"/>
    </sheetView>
  </sheetViews>
  <sheetFormatPr defaultColWidth="11.42578125" defaultRowHeight="15" x14ac:dyDescent="0.25"/>
  <cols>
    <col min="8" max="8" width="17.42578125" customWidth="1"/>
    <col min="9" max="9" width="14.140625" customWidth="1"/>
    <col min="10" max="10" width="12.140625" customWidth="1"/>
    <col min="11" max="11" width="16.85546875" customWidth="1"/>
    <col min="12" max="12" width="15.28515625" customWidth="1"/>
    <col min="13" max="13" width="15.140625" customWidth="1"/>
    <col min="29" max="29" width="16.28515625" customWidth="1"/>
    <col min="30" max="30" width="17.140625" customWidth="1"/>
    <col min="32" max="32" width="13.7109375" customWidth="1"/>
    <col min="33" max="33" width="14.5703125" customWidth="1"/>
    <col min="34" max="34" width="19.42578125" customWidth="1"/>
    <col min="35" max="35" width="20.85546875" customWidth="1"/>
    <col min="36" max="36" width="11.7109375" customWidth="1"/>
    <col min="37" max="37" width="21" customWidth="1"/>
    <col min="52" max="52" width="16.42578125" customWidth="1"/>
    <col min="53" max="53" width="12.28515625" customWidth="1"/>
    <col min="54" max="54" width="23.5703125" customWidth="1"/>
    <col min="55" max="55" width="18.28515625" customWidth="1"/>
    <col min="56" max="56" width="18.42578125" customWidth="1"/>
    <col min="58" max="58" width="21.42578125" customWidth="1"/>
  </cols>
  <sheetData>
    <row r="4" spans="7:73" x14ac:dyDescent="0.25">
      <c r="O4" s="10" t="s">
        <v>18</v>
      </c>
    </row>
    <row r="5" spans="7:73" x14ac:dyDescent="0.25">
      <c r="O5" s="11">
        <f>14.5</f>
        <v>14.5</v>
      </c>
    </row>
    <row r="6" spans="7:73" x14ac:dyDescent="0.25">
      <c r="O6" s="11">
        <v>9.5</v>
      </c>
      <c r="BL6" s="2" t="s">
        <v>11</v>
      </c>
      <c r="BN6" s="3"/>
      <c r="BP6" s="2"/>
      <c r="BQ6" s="4" t="s">
        <v>12</v>
      </c>
      <c r="BR6" s="3"/>
      <c r="BT6" s="5"/>
    </row>
    <row r="7" spans="7:73" x14ac:dyDescent="0.25">
      <c r="O7" s="11">
        <f>O5*O6</f>
        <v>137.75</v>
      </c>
      <c r="BL7" s="3"/>
      <c r="BN7" s="3"/>
      <c r="BP7" s="3"/>
      <c r="BR7" s="3"/>
      <c r="BT7" s="3"/>
    </row>
    <row r="8" spans="7:73" x14ac:dyDescent="0.25">
      <c r="O8" s="12">
        <f>O7*10^-4</f>
        <v>1.3775000000000001E-2</v>
      </c>
      <c r="BL8" s="3"/>
      <c r="BN8" s="3"/>
      <c r="BP8" s="3"/>
      <c r="BR8" s="3"/>
      <c r="BT8" s="3"/>
    </row>
    <row r="9" spans="7:73" x14ac:dyDescent="0.25">
      <c r="BL9" s="6" t="s">
        <v>13</v>
      </c>
      <c r="BM9" s="7" t="s">
        <v>14</v>
      </c>
      <c r="BN9" s="6" t="s">
        <v>13</v>
      </c>
      <c r="BO9" s="7" t="s">
        <v>14</v>
      </c>
      <c r="BP9" s="6" t="s">
        <v>13</v>
      </c>
      <c r="BQ9" s="7" t="s">
        <v>14</v>
      </c>
      <c r="BR9" s="6" t="s">
        <v>13</v>
      </c>
      <c r="BS9" s="7" t="s">
        <v>14</v>
      </c>
      <c r="BT9" s="6" t="s">
        <v>13</v>
      </c>
      <c r="BU9" s="7" t="s">
        <v>14</v>
      </c>
    </row>
    <row r="10" spans="7:73" x14ac:dyDescent="0.25">
      <c r="BL10" s="6">
        <f>10</f>
        <v>10</v>
      </c>
      <c r="BM10" s="8">
        <v>1.7110000000000001</v>
      </c>
      <c r="BN10" s="6">
        <v>14</v>
      </c>
      <c r="BO10" s="9">
        <v>1.4750000000000001</v>
      </c>
      <c r="BP10" s="6">
        <v>18</v>
      </c>
      <c r="BQ10" s="9">
        <v>1.276</v>
      </c>
      <c r="BR10" s="6">
        <v>22</v>
      </c>
      <c r="BS10" s="9">
        <v>1.109</v>
      </c>
      <c r="BT10" s="6">
        <v>26</v>
      </c>
      <c r="BU10" s="9">
        <v>0.97099999999999997</v>
      </c>
    </row>
    <row r="11" spans="7:73" x14ac:dyDescent="0.25">
      <c r="BL11" s="6">
        <f>10.1</f>
        <v>10.1</v>
      </c>
      <c r="BM11" s="9">
        <v>1.7050000000000001</v>
      </c>
      <c r="BN11" s="6">
        <v>14.1</v>
      </c>
      <c r="BO11" s="9">
        <v>1.4690000000000001</v>
      </c>
      <c r="BP11" s="6">
        <v>18.100000000000001</v>
      </c>
      <c r="BQ11" s="9">
        <v>1.272</v>
      </c>
      <c r="BR11" s="6">
        <v>22.1</v>
      </c>
      <c r="BS11" s="9">
        <v>1.105</v>
      </c>
      <c r="BT11" s="6">
        <v>26.1</v>
      </c>
      <c r="BU11" s="9">
        <v>0.96799999999999997</v>
      </c>
    </row>
    <row r="12" spans="7:73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L12" s="6">
        <f>10.2</f>
        <v>10.199999999999999</v>
      </c>
      <c r="BM12" s="9">
        <v>1.698</v>
      </c>
      <c r="BN12" s="6">
        <v>14.2</v>
      </c>
      <c r="BO12" s="9">
        <v>1.464</v>
      </c>
      <c r="BP12" s="6">
        <v>18.2</v>
      </c>
      <c r="BQ12" s="9">
        <v>1.2669999999999999</v>
      </c>
      <c r="BR12" s="6">
        <v>22.2</v>
      </c>
      <c r="BS12" s="9">
        <v>1.101</v>
      </c>
      <c r="BT12" s="6">
        <v>26.2</v>
      </c>
      <c r="BU12" s="9">
        <v>0.96499999999999997</v>
      </c>
    </row>
    <row r="13" spans="7:73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20" t="s">
        <v>33</v>
      </c>
      <c r="AJ13" s="13" t="s">
        <v>23</v>
      </c>
      <c r="AK13" s="22" t="s">
        <v>42</v>
      </c>
      <c r="AX13" t="s">
        <v>0</v>
      </c>
      <c r="AY13" t="s">
        <v>1</v>
      </c>
      <c r="AZ13" t="s">
        <v>2</v>
      </c>
      <c r="BA13" s="17" t="s">
        <v>3</v>
      </c>
      <c r="BB13" s="13" t="s">
        <v>15</v>
      </c>
      <c r="BC13" s="13" t="s">
        <v>16</v>
      </c>
      <c r="BD13" s="13" t="s">
        <v>17</v>
      </c>
      <c r="BE13" s="13" t="s">
        <v>24</v>
      </c>
      <c r="BF13" s="22" t="s">
        <v>43</v>
      </c>
      <c r="BL13" s="6">
        <f>10.3</f>
        <v>10.3</v>
      </c>
      <c r="BM13" s="9">
        <v>1.6919999999999999</v>
      </c>
      <c r="BN13" s="6">
        <v>14.3</v>
      </c>
      <c r="BO13" s="9">
        <v>1.4590000000000001</v>
      </c>
      <c r="BP13" s="6">
        <v>18.3</v>
      </c>
      <c r="BQ13" s="9">
        <v>1.262</v>
      </c>
      <c r="BR13" s="6">
        <v>22.3</v>
      </c>
      <c r="BS13" s="9">
        <v>1.097</v>
      </c>
      <c r="BT13" s="6">
        <v>26.3</v>
      </c>
      <c r="BU13" s="9">
        <v>0.96199999999999997</v>
      </c>
    </row>
    <row r="14" spans="7:73" x14ac:dyDescent="0.25">
      <c r="G14">
        <v>0</v>
      </c>
      <c r="H14">
        <f>15</f>
        <v>15</v>
      </c>
      <c r="I14">
        <v>7.2</v>
      </c>
      <c r="J14">
        <f>I14*10^-3</f>
        <v>7.2000000000000007E-3</v>
      </c>
      <c r="K14">
        <f>H14/3600</f>
        <v>4.1666666666666666E-3</v>
      </c>
      <c r="L14">
        <f>J14/K14</f>
        <v>1.7280000000000002</v>
      </c>
      <c r="M14">
        <f>J14/(K14*$O$8)</f>
        <v>125.44464609800363</v>
      </c>
      <c r="S14">
        <v>0</v>
      </c>
      <c r="T14">
        <v>254.6</v>
      </c>
      <c r="U14">
        <v>0.16619999999999999</v>
      </c>
      <c r="V14" s="15">
        <v>24</v>
      </c>
      <c r="W14">
        <v>254.1</v>
      </c>
      <c r="X14">
        <v>0.16619999999999999</v>
      </c>
      <c r="Y14">
        <v>3.6</v>
      </c>
      <c r="Z14">
        <v>2.3999999999999998E-3</v>
      </c>
      <c r="AA14">
        <v>23.1</v>
      </c>
      <c r="AB14">
        <v>6.8</v>
      </c>
      <c r="AC14">
        <f>15</f>
        <v>15</v>
      </c>
      <c r="AD14">
        <f>AC14/3600</f>
        <v>4.1666666666666666E-3</v>
      </c>
      <c r="AE14">
        <f>AB14*10^-3</f>
        <v>6.7999999999999996E-3</v>
      </c>
      <c r="AF14">
        <f>AE14/AD14</f>
        <v>1.6319999999999999</v>
      </c>
      <c r="AG14">
        <f>AE14/(AD14*$O$8)</f>
        <v>118.47549909255896</v>
      </c>
      <c r="AH14" s="15">
        <f>AG14*BS30</f>
        <v>122.62214156079851</v>
      </c>
      <c r="AI14" s="21">
        <f>AH14/$AH$14</f>
        <v>1</v>
      </c>
      <c r="AJ14" s="18">
        <f>($AH$14-AH14)/$AH$14</f>
        <v>0</v>
      </c>
      <c r="AK14" s="18">
        <f>AJ22</f>
        <v>0.11290139244103409</v>
      </c>
      <c r="AX14">
        <v>0</v>
      </c>
      <c r="AY14">
        <f>15</f>
        <v>15</v>
      </c>
      <c r="AZ14">
        <v>5</v>
      </c>
      <c r="BA14">
        <f>AZ14*10^-3</f>
        <v>5.0000000000000001E-3</v>
      </c>
      <c r="BB14">
        <f>AY14/3600</f>
        <v>4.1666666666666666E-3</v>
      </c>
      <c r="BC14">
        <f>BA14/BB14</f>
        <v>1.2</v>
      </c>
      <c r="BD14">
        <f>BA14/(BB14*$O$8)</f>
        <v>87.114337568058076</v>
      </c>
      <c r="BE14" s="18">
        <f>(BD14/M14)</f>
        <v>0.69444444444444442</v>
      </c>
      <c r="BF14" s="18">
        <f>BE26</f>
        <v>0.82258064516129015</v>
      </c>
      <c r="BL14" s="6">
        <f>10.4</f>
        <v>10.4</v>
      </c>
      <c r="BM14" s="9">
        <v>1.6859999999999999</v>
      </c>
      <c r="BN14" s="6">
        <v>14.4</v>
      </c>
      <c r="BO14" s="9">
        <v>1.4530000000000001</v>
      </c>
      <c r="BP14" s="6">
        <v>18.399999999999999</v>
      </c>
      <c r="BQ14" s="9">
        <v>1.258</v>
      </c>
      <c r="BR14" s="6">
        <v>22.4</v>
      </c>
      <c r="BS14" s="9">
        <v>1.093</v>
      </c>
      <c r="BT14" s="6">
        <v>26.4</v>
      </c>
      <c r="BU14" s="9">
        <v>0.95899999999999996</v>
      </c>
    </row>
    <row r="15" spans="7:73" x14ac:dyDescent="0.25">
      <c r="G15">
        <v>10</v>
      </c>
      <c r="H15">
        <f>15</f>
        <v>15</v>
      </c>
      <c r="I15">
        <v>6.8</v>
      </c>
      <c r="J15">
        <f t="shared" ref="J15:J26" si="0">I15*10^-3</f>
        <v>6.7999999999999996E-3</v>
      </c>
      <c r="K15">
        <f t="shared" ref="K15:K26" si="1">H15/3600</f>
        <v>4.1666666666666666E-3</v>
      </c>
      <c r="L15">
        <f t="shared" ref="L15:L26" si="2">J15/K15</f>
        <v>1.6319999999999999</v>
      </c>
      <c r="M15">
        <f>J15/(K15*$O$8)</f>
        <v>118.47549909255896</v>
      </c>
      <c r="S15">
        <v>30</v>
      </c>
      <c r="T15">
        <v>263.5</v>
      </c>
      <c r="U15">
        <v>0.1709</v>
      </c>
      <c r="V15" s="15">
        <v>24.5</v>
      </c>
      <c r="W15">
        <v>267.5</v>
      </c>
      <c r="X15">
        <v>0.17560000000000001</v>
      </c>
      <c r="Y15">
        <v>3.2</v>
      </c>
      <c r="Z15">
        <v>2.2000000000000001E-3</v>
      </c>
      <c r="AA15">
        <v>23</v>
      </c>
      <c r="AB15">
        <v>6.4</v>
      </c>
      <c r="AC15">
        <f>15</f>
        <v>15</v>
      </c>
      <c r="AD15">
        <f t="shared" ref="AD15:AD22" si="3">AC15/3600</f>
        <v>4.1666666666666666E-3</v>
      </c>
      <c r="AE15">
        <f t="shared" ref="AE15:AE22" si="4">AB15*10^-3</f>
        <v>6.4000000000000003E-3</v>
      </c>
      <c r="AF15">
        <f t="shared" ref="AF15:AF22" si="5">AE15/AD15</f>
        <v>1.536</v>
      </c>
      <c r="AG15">
        <f t="shared" ref="AG15:AG22" si="6">AE15/(AD15*$O$8)</f>
        <v>111.50635208711434</v>
      </c>
      <c r="AH15" s="15">
        <f>AG15*BS35</f>
        <v>113.40196007259527</v>
      </c>
      <c r="AI15" s="21">
        <f t="shared" ref="AI15:AI22" si="7">AH15/$AH$14</f>
        <v>0.92480818414322274</v>
      </c>
      <c r="AJ15" s="18">
        <f>($AH$14-AH15)/$AH$14</f>
        <v>7.5191815856777283E-2</v>
      </c>
      <c r="AX15">
        <v>10</v>
      </c>
      <c r="AY15">
        <f>15</f>
        <v>15</v>
      </c>
      <c r="AZ15">
        <v>5.0999999999999996</v>
      </c>
      <c r="BA15">
        <f t="shared" ref="BA15:BA26" si="8">AZ15*10^-3</f>
        <v>5.0999999999999995E-3</v>
      </c>
      <c r="BB15">
        <f t="shared" ref="BB15:BB26" si="9">AY15/3600</f>
        <v>4.1666666666666666E-3</v>
      </c>
      <c r="BC15">
        <f t="shared" ref="BC15:BC26" si="10">BA15/BB15</f>
        <v>1.224</v>
      </c>
      <c r="BD15">
        <f t="shared" ref="BD15:BD26" si="11">BA15/(BB15*$O$8)</f>
        <v>88.856624319419225</v>
      </c>
      <c r="BE15" s="18">
        <f t="shared" ref="BE15:BE26" si="12">(BD15/M15)</f>
        <v>0.75</v>
      </c>
      <c r="BL15" s="6">
        <v>10.5</v>
      </c>
      <c r="BM15" s="9">
        <v>1.679</v>
      </c>
      <c r="BN15" s="6">
        <v>14.5</v>
      </c>
      <c r="BO15" s="9">
        <v>1.448</v>
      </c>
      <c r="BP15" s="6">
        <v>18.5</v>
      </c>
      <c r="BQ15" s="9">
        <v>1.254</v>
      </c>
      <c r="BR15" s="6">
        <v>22.5</v>
      </c>
      <c r="BS15" s="9">
        <v>1.0900000000000001</v>
      </c>
      <c r="BT15" s="6">
        <v>26.5</v>
      </c>
      <c r="BU15" s="9">
        <v>0.95699999999999996</v>
      </c>
    </row>
    <row r="16" spans="7:73" x14ac:dyDescent="0.25">
      <c r="G16">
        <v>20</v>
      </c>
      <c r="H16">
        <f>15</f>
        <v>15</v>
      </c>
      <c r="I16">
        <v>6.6</v>
      </c>
      <c r="J16">
        <f t="shared" si="0"/>
        <v>6.6E-3</v>
      </c>
      <c r="K16">
        <f t="shared" si="1"/>
        <v>4.1666666666666666E-3</v>
      </c>
      <c r="L16">
        <f t="shared" si="2"/>
        <v>1.5840000000000001</v>
      </c>
      <c r="M16">
        <f t="shared" ref="M16:M26" si="13">J16/(K16*$O$8)</f>
        <v>114.99092558983665</v>
      </c>
      <c r="S16">
        <v>60</v>
      </c>
      <c r="T16">
        <v>279.8</v>
      </c>
      <c r="U16">
        <v>0.18459999999999999</v>
      </c>
      <c r="V16" s="15">
        <v>24.5</v>
      </c>
      <c r="W16">
        <v>292.5</v>
      </c>
      <c r="X16">
        <v>0.18909999999999999</v>
      </c>
      <c r="Y16">
        <v>3.3</v>
      </c>
      <c r="Z16">
        <v>2.2000000000000001E-3</v>
      </c>
      <c r="AA16">
        <v>22.8</v>
      </c>
      <c r="AB16">
        <v>6.2</v>
      </c>
      <c r="AC16">
        <f>15</f>
        <v>15</v>
      </c>
      <c r="AD16">
        <f t="shared" si="3"/>
        <v>4.1666666666666666E-3</v>
      </c>
      <c r="AE16">
        <f t="shared" si="4"/>
        <v>6.2000000000000006E-3</v>
      </c>
      <c r="AF16">
        <f t="shared" si="5"/>
        <v>1.4880000000000002</v>
      </c>
      <c r="AG16">
        <f t="shared" si="6"/>
        <v>108.02177858439202</v>
      </c>
      <c r="AH16" s="15">
        <f>AG16*BS35</f>
        <v>109.85814882032668</v>
      </c>
      <c r="AI16" s="21">
        <f t="shared" si="7"/>
        <v>0.895907928388747</v>
      </c>
      <c r="AJ16" s="18">
        <f t="shared" ref="AJ16:AJ22" si="14">($AH$14-AH16)/$AH$14</f>
        <v>0.10409207161125295</v>
      </c>
      <c r="AX16">
        <v>20</v>
      </c>
      <c r="AY16">
        <f>15</f>
        <v>15</v>
      </c>
      <c r="AZ16">
        <v>4.9000000000000004</v>
      </c>
      <c r="BA16">
        <f t="shared" si="8"/>
        <v>4.9000000000000007E-3</v>
      </c>
      <c r="BB16">
        <f t="shared" si="9"/>
        <v>4.1666666666666666E-3</v>
      </c>
      <c r="BC16">
        <f t="shared" si="10"/>
        <v>1.1760000000000002</v>
      </c>
      <c r="BD16">
        <f t="shared" si="11"/>
        <v>85.372050816696927</v>
      </c>
      <c r="BE16" s="18">
        <f t="shared" si="12"/>
        <v>0.74242424242424265</v>
      </c>
      <c r="BL16" s="6">
        <v>10.6</v>
      </c>
      <c r="BM16" s="9">
        <v>1.673</v>
      </c>
      <c r="BN16" s="6">
        <v>14.6</v>
      </c>
      <c r="BO16" s="9">
        <v>1.4430000000000001</v>
      </c>
      <c r="BP16" s="6">
        <v>18.600000000000001</v>
      </c>
      <c r="BQ16" s="9">
        <v>1.2490000000000001</v>
      </c>
      <c r="BR16" s="6">
        <v>22.6</v>
      </c>
      <c r="BS16" s="9">
        <v>1.0860000000000001</v>
      </c>
      <c r="BT16" s="6">
        <v>26.6</v>
      </c>
      <c r="BU16" s="9">
        <v>0.95399999999999996</v>
      </c>
    </row>
    <row r="17" spans="7:73" x14ac:dyDescent="0.25">
      <c r="G17">
        <v>30</v>
      </c>
      <c r="H17">
        <f>15</f>
        <v>15</v>
      </c>
      <c r="I17">
        <v>6.8</v>
      </c>
      <c r="J17">
        <f t="shared" si="0"/>
        <v>6.7999999999999996E-3</v>
      </c>
      <c r="K17">
        <f t="shared" si="1"/>
        <v>4.1666666666666666E-3</v>
      </c>
      <c r="L17">
        <f t="shared" si="2"/>
        <v>1.6319999999999999</v>
      </c>
      <c r="M17">
        <f t="shared" si="13"/>
        <v>118.47549909255896</v>
      </c>
      <c r="S17">
        <v>90</v>
      </c>
      <c r="T17">
        <v>309.5</v>
      </c>
      <c r="U17">
        <v>0.19520000000000001</v>
      </c>
      <c r="V17" s="15">
        <v>24.8</v>
      </c>
      <c r="W17">
        <v>297.89999999999998</v>
      </c>
      <c r="X17">
        <v>0.19750000000000001</v>
      </c>
      <c r="Y17">
        <v>3.4</v>
      </c>
      <c r="Z17">
        <v>2.3E-3</v>
      </c>
      <c r="AA17">
        <v>22.6</v>
      </c>
      <c r="AB17">
        <v>6</v>
      </c>
      <c r="AC17">
        <f>15</f>
        <v>15</v>
      </c>
      <c r="AD17">
        <f t="shared" si="3"/>
        <v>4.1666666666666666E-3</v>
      </c>
      <c r="AE17">
        <f t="shared" si="4"/>
        <v>6.0000000000000001E-3</v>
      </c>
      <c r="AF17">
        <f t="shared" si="5"/>
        <v>1.44</v>
      </c>
      <c r="AG17">
        <f t="shared" si="6"/>
        <v>104.53720508166968</v>
      </c>
      <c r="AH17" s="15">
        <f>AG17*BS38</f>
        <v>105.26896551724136</v>
      </c>
      <c r="AI17" s="21">
        <f t="shared" si="7"/>
        <v>0.85848252344416032</v>
      </c>
      <c r="AJ17" s="18">
        <f t="shared" si="14"/>
        <v>0.14151747655583966</v>
      </c>
      <c r="AX17">
        <v>30</v>
      </c>
      <c r="AY17">
        <f>15</f>
        <v>15</v>
      </c>
      <c r="AZ17">
        <v>5.0999999999999996</v>
      </c>
      <c r="BA17">
        <f t="shared" si="8"/>
        <v>5.0999999999999995E-3</v>
      </c>
      <c r="BB17">
        <f t="shared" si="9"/>
        <v>4.1666666666666666E-3</v>
      </c>
      <c r="BC17">
        <f t="shared" si="10"/>
        <v>1.224</v>
      </c>
      <c r="BD17">
        <f t="shared" si="11"/>
        <v>88.856624319419225</v>
      </c>
      <c r="BE17" s="18">
        <f t="shared" si="12"/>
        <v>0.75</v>
      </c>
      <c r="BL17" s="6">
        <v>10.7</v>
      </c>
      <c r="BM17" s="9">
        <v>1.667</v>
      </c>
      <c r="BN17" s="6">
        <v>14.7</v>
      </c>
      <c r="BO17" s="9">
        <v>1.4370000000000001</v>
      </c>
      <c r="BP17" s="6">
        <v>18.7</v>
      </c>
      <c r="BQ17" s="9">
        <v>1.2450000000000001</v>
      </c>
      <c r="BR17" s="6">
        <v>22.7</v>
      </c>
      <c r="BS17" s="9">
        <v>1.0820000000000001</v>
      </c>
      <c r="BT17" s="6">
        <v>26.7</v>
      </c>
      <c r="BU17" s="9">
        <v>0.95099999999999996</v>
      </c>
    </row>
    <row r="18" spans="7:73" x14ac:dyDescent="0.25">
      <c r="G18">
        <v>40</v>
      </c>
      <c r="H18">
        <f>15</f>
        <v>15</v>
      </c>
      <c r="I18">
        <v>6.6</v>
      </c>
      <c r="J18">
        <f t="shared" si="0"/>
        <v>6.6E-3</v>
      </c>
      <c r="K18">
        <f t="shared" si="1"/>
        <v>4.1666666666666666E-3</v>
      </c>
      <c r="L18">
        <f t="shared" si="2"/>
        <v>1.5840000000000001</v>
      </c>
      <c r="M18">
        <f t="shared" si="13"/>
        <v>114.99092558983665</v>
      </c>
      <c r="S18">
        <v>120</v>
      </c>
      <c r="T18">
        <v>316.39999999999998</v>
      </c>
      <c r="U18">
        <v>0.20599999999999999</v>
      </c>
      <c r="V18" s="15">
        <v>25</v>
      </c>
      <c r="W18">
        <v>321.5</v>
      </c>
      <c r="X18">
        <v>0.20960000000000001</v>
      </c>
      <c r="Y18">
        <v>3.6</v>
      </c>
      <c r="Z18">
        <v>2.3999999999999998E-3</v>
      </c>
      <c r="AA18">
        <v>22.7</v>
      </c>
      <c r="AB18">
        <v>6.2</v>
      </c>
      <c r="AC18">
        <f>15</f>
        <v>15</v>
      </c>
      <c r="AD18">
        <f t="shared" si="3"/>
        <v>4.1666666666666666E-3</v>
      </c>
      <c r="AE18">
        <f t="shared" si="4"/>
        <v>6.2000000000000006E-3</v>
      </c>
      <c r="AF18">
        <f t="shared" si="5"/>
        <v>1.4880000000000002</v>
      </c>
      <c r="AG18">
        <f t="shared" si="6"/>
        <v>108.02177858439202</v>
      </c>
      <c r="AH18" s="15">
        <f>AG18*BS38</f>
        <v>108.77793103448276</v>
      </c>
      <c r="AI18" s="21">
        <f t="shared" si="7"/>
        <v>0.88709860755896597</v>
      </c>
      <c r="AJ18" s="18">
        <f t="shared" si="14"/>
        <v>0.11290139244103409</v>
      </c>
      <c r="AX18">
        <v>40</v>
      </c>
      <c r="AY18">
        <f>15</f>
        <v>15</v>
      </c>
      <c r="AZ18">
        <v>5.0999999999999996</v>
      </c>
      <c r="BA18">
        <f t="shared" si="8"/>
        <v>5.0999999999999995E-3</v>
      </c>
      <c r="BB18">
        <f t="shared" si="9"/>
        <v>4.1666666666666666E-3</v>
      </c>
      <c r="BC18">
        <f t="shared" si="10"/>
        <v>1.224</v>
      </c>
      <c r="BD18">
        <f t="shared" si="11"/>
        <v>88.856624319419225</v>
      </c>
      <c r="BE18" s="18">
        <f t="shared" si="12"/>
        <v>0.77272727272727271</v>
      </c>
      <c r="BL18" s="6">
        <v>10.8</v>
      </c>
      <c r="BM18" s="9">
        <v>1.66</v>
      </c>
      <c r="BN18" s="6">
        <v>14.8</v>
      </c>
      <c r="BO18" s="9">
        <v>1.4319999999999999</v>
      </c>
      <c r="BP18" s="6">
        <v>18.8</v>
      </c>
      <c r="BQ18" s="9">
        <v>1.24</v>
      </c>
      <c r="BR18" s="6">
        <v>22.8</v>
      </c>
      <c r="BS18" s="9">
        <v>1.0780000000000001</v>
      </c>
      <c r="BT18" s="6">
        <v>26.8</v>
      </c>
      <c r="BU18" s="9">
        <v>0.94799999999999995</v>
      </c>
    </row>
    <row r="19" spans="7:73" x14ac:dyDescent="0.25">
      <c r="G19">
        <v>50</v>
      </c>
      <c r="H19">
        <f>15</f>
        <v>15</v>
      </c>
      <c r="I19">
        <v>6.6</v>
      </c>
      <c r="J19">
        <f t="shared" si="0"/>
        <v>6.6E-3</v>
      </c>
      <c r="K19">
        <f t="shared" si="1"/>
        <v>4.1666666666666666E-3</v>
      </c>
      <c r="L19">
        <f t="shared" si="2"/>
        <v>1.5840000000000001</v>
      </c>
      <c r="M19">
        <f t="shared" si="13"/>
        <v>114.99092558983665</v>
      </c>
      <c r="S19">
        <v>150</v>
      </c>
      <c r="T19">
        <v>343.4</v>
      </c>
      <c r="U19">
        <v>0.224</v>
      </c>
      <c r="V19" s="15">
        <v>24.7</v>
      </c>
      <c r="W19">
        <v>351.7</v>
      </c>
      <c r="X19">
        <v>0.23899999999999999</v>
      </c>
      <c r="Y19">
        <v>3.7</v>
      </c>
      <c r="Z19">
        <v>2.5999999999999999E-3</v>
      </c>
      <c r="AA19">
        <v>22.6</v>
      </c>
      <c r="AB19">
        <v>6.2</v>
      </c>
      <c r="AC19">
        <f>15</f>
        <v>15</v>
      </c>
      <c r="AD19">
        <f t="shared" si="3"/>
        <v>4.1666666666666666E-3</v>
      </c>
      <c r="AE19">
        <f t="shared" si="4"/>
        <v>6.2000000000000006E-3</v>
      </c>
      <c r="AF19">
        <f t="shared" si="5"/>
        <v>1.4880000000000002</v>
      </c>
      <c r="AG19">
        <f t="shared" si="6"/>
        <v>108.02177858439202</v>
      </c>
      <c r="AH19" s="15">
        <f>AG19*BS37</f>
        <v>109.10199637023595</v>
      </c>
      <c r="AI19" s="21">
        <f t="shared" si="7"/>
        <v>0.88974140380790034</v>
      </c>
      <c r="AJ19" s="18">
        <f t="shared" si="14"/>
        <v>0.11025859619209961</v>
      </c>
      <c r="AX19">
        <v>50</v>
      </c>
      <c r="AY19">
        <f>15</f>
        <v>15</v>
      </c>
      <c r="AZ19">
        <v>5.2</v>
      </c>
      <c r="BA19">
        <f t="shared" si="8"/>
        <v>5.2000000000000006E-3</v>
      </c>
      <c r="BB19">
        <f t="shared" si="9"/>
        <v>4.1666666666666666E-3</v>
      </c>
      <c r="BC19">
        <f t="shared" si="10"/>
        <v>1.2480000000000002</v>
      </c>
      <c r="BD19">
        <f t="shared" si="11"/>
        <v>90.598911070780403</v>
      </c>
      <c r="BE19" s="18">
        <f t="shared" si="12"/>
        <v>0.78787878787878796</v>
      </c>
      <c r="BL19" s="6">
        <v>10.9</v>
      </c>
      <c r="BM19" s="9">
        <v>1.6539999999999999</v>
      </c>
      <c r="BN19" s="6">
        <v>14.9</v>
      </c>
      <c r="BO19" s="9">
        <v>1.427</v>
      </c>
      <c r="BP19" s="6">
        <v>18.899999999999999</v>
      </c>
      <c r="BQ19" s="9">
        <v>1.236</v>
      </c>
      <c r="BR19" s="6">
        <v>22.9</v>
      </c>
      <c r="BS19" s="9">
        <v>1.075</v>
      </c>
      <c r="BT19" s="6">
        <v>26.9</v>
      </c>
      <c r="BU19" s="9">
        <v>0.94499999999999995</v>
      </c>
    </row>
    <row r="20" spans="7:73" x14ac:dyDescent="0.25">
      <c r="G20">
        <v>60</v>
      </c>
      <c r="H20">
        <f>15</f>
        <v>15</v>
      </c>
      <c r="I20">
        <v>6.4</v>
      </c>
      <c r="J20">
        <f t="shared" si="0"/>
        <v>6.4000000000000003E-3</v>
      </c>
      <c r="K20">
        <f t="shared" si="1"/>
        <v>4.1666666666666666E-3</v>
      </c>
      <c r="L20">
        <f t="shared" si="2"/>
        <v>1.536</v>
      </c>
      <c r="M20">
        <f t="shared" si="13"/>
        <v>111.50635208711434</v>
      </c>
      <c r="S20">
        <v>180</v>
      </c>
      <c r="T20">
        <v>362.1</v>
      </c>
      <c r="U20">
        <v>0.23699999999999999</v>
      </c>
      <c r="V20" s="15">
        <v>24.6</v>
      </c>
      <c r="W20">
        <v>374.1</v>
      </c>
      <c r="X20">
        <v>0.245</v>
      </c>
      <c r="Y20">
        <v>3.6</v>
      </c>
      <c r="Z20">
        <v>2.3999999999999998E-3</v>
      </c>
      <c r="AA20">
        <v>22.1</v>
      </c>
      <c r="AB20">
        <v>6.2</v>
      </c>
      <c r="AC20">
        <f>15</f>
        <v>15</v>
      </c>
      <c r="AD20">
        <f t="shared" si="3"/>
        <v>4.1666666666666666E-3</v>
      </c>
      <c r="AE20">
        <f t="shared" si="4"/>
        <v>6.2000000000000006E-3</v>
      </c>
      <c r="AF20">
        <f t="shared" si="5"/>
        <v>1.4880000000000002</v>
      </c>
      <c r="AG20">
        <f t="shared" si="6"/>
        <v>108.02177858439202</v>
      </c>
      <c r="AH20" s="15">
        <f>AG20*BS36</f>
        <v>109.53408348457351</v>
      </c>
      <c r="AI20" s="21">
        <f t="shared" si="7"/>
        <v>0.89326513213981285</v>
      </c>
      <c r="AJ20" s="18">
        <f t="shared" si="14"/>
        <v>0.10673486786018718</v>
      </c>
      <c r="AX20">
        <v>60</v>
      </c>
      <c r="AY20">
        <f>15</f>
        <v>15</v>
      </c>
      <c r="AZ20">
        <v>5.0999999999999996</v>
      </c>
      <c r="BA20">
        <f t="shared" si="8"/>
        <v>5.0999999999999995E-3</v>
      </c>
      <c r="BB20">
        <f t="shared" si="9"/>
        <v>4.1666666666666666E-3</v>
      </c>
      <c r="BC20">
        <f t="shared" si="10"/>
        <v>1.224</v>
      </c>
      <c r="BD20">
        <f t="shared" si="11"/>
        <v>88.856624319419225</v>
      </c>
      <c r="BE20" s="18">
        <f t="shared" si="12"/>
        <v>0.79687499999999989</v>
      </c>
      <c r="BL20" s="6">
        <v>11</v>
      </c>
      <c r="BM20" s="9">
        <v>1.6479999999999999</v>
      </c>
      <c r="BN20" s="6">
        <v>15</v>
      </c>
      <c r="BO20" s="9">
        <v>1.4219999999999999</v>
      </c>
      <c r="BP20" s="6">
        <v>19</v>
      </c>
      <c r="BQ20" s="9">
        <v>1.232</v>
      </c>
      <c r="BR20" s="6">
        <v>23</v>
      </c>
      <c r="BS20" s="9">
        <v>1.071</v>
      </c>
      <c r="BT20" s="6">
        <v>27</v>
      </c>
      <c r="BU20" s="9">
        <v>0.94299999999999995</v>
      </c>
    </row>
    <row r="21" spans="7:73" x14ac:dyDescent="0.25">
      <c r="G21">
        <v>70</v>
      </c>
      <c r="H21">
        <f>15</f>
        <v>15</v>
      </c>
      <c r="I21">
        <v>6.2</v>
      </c>
      <c r="J21">
        <f t="shared" si="0"/>
        <v>6.2000000000000006E-3</v>
      </c>
      <c r="K21">
        <f t="shared" si="1"/>
        <v>4.1666666666666666E-3</v>
      </c>
      <c r="L21">
        <f t="shared" si="2"/>
        <v>1.4880000000000002</v>
      </c>
      <c r="M21">
        <f t="shared" si="13"/>
        <v>108.02177858439202</v>
      </c>
      <c r="S21">
        <v>210</v>
      </c>
      <c r="T21">
        <v>390.3</v>
      </c>
      <c r="U21">
        <v>0.248</v>
      </c>
      <c r="V21" s="15">
        <v>24.1</v>
      </c>
      <c r="W21">
        <v>393.1</v>
      </c>
      <c r="X21">
        <v>0.25890000000000002</v>
      </c>
      <c r="Y21">
        <v>3.7</v>
      </c>
      <c r="Z21">
        <v>2.5000000000000001E-3</v>
      </c>
      <c r="AA21">
        <v>21.9</v>
      </c>
      <c r="AB21">
        <v>5.9</v>
      </c>
      <c r="AC21">
        <f>15</f>
        <v>15</v>
      </c>
      <c r="AD21">
        <f t="shared" si="3"/>
        <v>4.1666666666666666E-3</v>
      </c>
      <c r="AE21">
        <f t="shared" si="4"/>
        <v>5.9000000000000007E-3</v>
      </c>
      <c r="AF21">
        <f t="shared" si="5"/>
        <v>1.4160000000000001</v>
      </c>
      <c r="AG21">
        <f t="shared" si="6"/>
        <v>102.79491833030853</v>
      </c>
      <c r="AH21" s="15">
        <f>AG21*BS21</f>
        <v>109.6821778584392</v>
      </c>
      <c r="AI21" s="21">
        <f t="shared" si="7"/>
        <v>0.89447286160841177</v>
      </c>
      <c r="AJ21" s="18">
        <f t="shared" si="14"/>
        <v>0.10552713839158823</v>
      </c>
      <c r="AX21">
        <v>70</v>
      </c>
      <c r="AY21">
        <f>15</f>
        <v>15</v>
      </c>
      <c r="AZ21">
        <v>5.0999999999999996</v>
      </c>
      <c r="BA21">
        <f t="shared" si="8"/>
        <v>5.0999999999999995E-3</v>
      </c>
      <c r="BB21">
        <f t="shared" si="9"/>
        <v>4.1666666666666666E-3</v>
      </c>
      <c r="BC21">
        <f t="shared" si="10"/>
        <v>1.224</v>
      </c>
      <c r="BD21">
        <f t="shared" si="11"/>
        <v>88.856624319419225</v>
      </c>
      <c r="BE21" s="18">
        <f t="shared" si="12"/>
        <v>0.82258064516129015</v>
      </c>
      <c r="BL21" s="6">
        <v>11.1</v>
      </c>
      <c r="BM21" s="9">
        <v>1.6419999999999999</v>
      </c>
      <c r="BN21" s="6">
        <v>15.1</v>
      </c>
      <c r="BO21" s="9">
        <v>1.417</v>
      </c>
      <c r="BP21" s="6">
        <v>19.100000000000001</v>
      </c>
      <c r="BQ21" s="9">
        <v>1.2270000000000001</v>
      </c>
      <c r="BR21" s="6">
        <v>23.1</v>
      </c>
      <c r="BS21" s="9">
        <v>1.0669999999999999</v>
      </c>
      <c r="BT21" s="6">
        <v>27.1</v>
      </c>
      <c r="BU21" s="9">
        <v>0.94</v>
      </c>
    </row>
    <row r="22" spans="7:73" x14ac:dyDescent="0.25">
      <c r="G22">
        <v>80</v>
      </c>
      <c r="H22">
        <f>15</f>
        <v>15</v>
      </c>
      <c r="I22">
        <v>6.1</v>
      </c>
      <c r="J22">
        <f t="shared" si="0"/>
        <v>6.0999999999999995E-3</v>
      </c>
      <c r="K22">
        <f t="shared" si="1"/>
        <v>4.1666666666666666E-3</v>
      </c>
      <c r="L22">
        <f t="shared" si="2"/>
        <v>1.464</v>
      </c>
      <c r="M22">
        <f t="shared" si="13"/>
        <v>106.27949183303083</v>
      </c>
      <c r="S22">
        <v>240</v>
      </c>
      <c r="T22">
        <v>410.2</v>
      </c>
      <c r="U22">
        <v>0.255</v>
      </c>
      <c r="V22" s="15">
        <v>24.8</v>
      </c>
      <c r="W22">
        <v>414.6</v>
      </c>
      <c r="X22">
        <v>0.26366000000000001</v>
      </c>
      <c r="Y22">
        <v>3.8</v>
      </c>
      <c r="Z22">
        <v>2.7000000000000001E-3</v>
      </c>
      <c r="AA22">
        <v>21.9</v>
      </c>
      <c r="AB22">
        <v>6.2</v>
      </c>
      <c r="AC22">
        <f>15</f>
        <v>15</v>
      </c>
      <c r="AD22">
        <f t="shared" si="3"/>
        <v>4.1666666666666666E-3</v>
      </c>
      <c r="AE22">
        <f t="shared" si="4"/>
        <v>6.2000000000000006E-3</v>
      </c>
      <c r="AF22">
        <f t="shared" si="5"/>
        <v>1.4880000000000002</v>
      </c>
      <c r="AG22">
        <f t="shared" si="6"/>
        <v>108.02177858439202</v>
      </c>
      <c r="AH22" s="15">
        <f>AG22*BS38</f>
        <v>108.77793103448276</v>
      </c>
      <c r="AI22" s="21">
        <f t="shared" si="7"/>
        <v>0.88709860755896597</v>
      </c>
      <c r="AJ22" s="18">
        <f t="shared" si="14"/>
        <v>0.11290139244103409</v>
      </c>
      <c r="AX22">
        <v>80</v>
      </c>
      <c r="AY22">
        <f>15</f>
        <v>15</v>
      </c>
      <c r="AZ22">
        <v>5.2</v>
      </c>
      <c r="BA22">
        <f t="shared" si="8"/>
        <v>5.2000000000000006E-3</v>
      </c>
      <c r="BB22">
        <f t="shared" si="9"/>
        <v>4.1666666666666666E-3</v>
      </c>
      <c r="BC22">
        <f t="shared" si="10"/>
        <v>1.2480000000000002</v>
      </c>
      <c r="BD22">
        <f t="shared" si="11"/>
        <v>90.598911070780403</v>
      </c>
      <c r="BE22" s="18">
        <f t="shared" si="12"/>
        <v>0.85245901639344279</v>
      </c>
      <c r="BL22" s="6">
        <v>11.2</v>
      </c>
      <c r="BM22" s="9">
        <v>1.6359999999999999</v>
      </c>
      <c r="BN22" s="6">
        <v>15.2</v>
      </c>
      <c r="BO22" s="9">
        <v>1.411</v>
      </c>
      <c r="BP22" s="6">
        <v>19.2</v>
      </c>
      <c r="BQ22" s="9">
        <v>1.2230000000000001</v>
      </c>
      <c r="BR22" s="6">
        <v>23.2</v>
      </c>
      <c r="BS22" s="9">
        <v>1.0640000000000001</v>
      </c>
      <c r="BT22" s="6">
        <v>27.2</v>
      </c>
      <c r="BU22" s="9">
        <v>0.93700000000000006</v>
      </c>
    </row>
    <row r="23" spans="7:73" x14ac:dyDescent="0.25">
      <c r="G23">
        <v>90</v>
      </c>
      <c r="H23">
        <v>15</v>
      </c>
      <c r="I23">
        <v>6.3</v>
      </c>
      <c r="J23">
        <f t="shared" si="0"/>
        <v>6.3E-3</v>
      </c>
      <c r="K23">
        <f t="shared" si="1"/>
        <v>4.1666666666666666E-3</v>
      </c>
      <c r="L23">
        <f t="shared" si="2"/>
        <v>1.512</v>
      </c>
      <c r="M23">
        <f t="shared" si="13"/>
        <v>109.76406533575317</v>
      </c>
      <c r="AG23" s="1">
        <f>AVERAGE(AG14:AG22)</f>
        <v>108.60254083484573</v>
      </c>
      <c r="AH23" s="16">
        <f>AVERAGE(AH14:AH22)</f>
        <v>110.78059286146402</v>
      </c>
      <c r="AJ23" s="19"/>
      <c r="AX23">
        <v>90</v>
      </c>
      <c r="AY23">
        <f>15</f>
        <v>15</v>
      </c>
      <c r="AZ23">
        <v>5.0999999999999996</v>
      </c>
      <c r="BA23">
        <f t="shared" si="8"/>
        <v>5.0999999999999995E-3</v>
      </c>
      <c r="BB23">
        <f t="shared" si="9"/>
        <v>4.1666666666666666E-3</v>
      </c>
      <c r="BC23">
        <f t="shared" si="10"/>
        <v>1.224</v>
      </c>
      <c r="BD23">
        <f t="shared" si="11"/>
        <v>88.856624319419225</v>
      </c>
      <c r="BE23" s="18">
        <f t="shared" si="12"/>
        <v>0.80952380952380942</v>
      </c>
      <c r="BL23" s="6">
        <v>11.3</v>
      </c>
      <c r="BM23" s="9">
        <v>1.63</v>
      </c>
      <c r="BN23" s="6">
        <v>15.3</v>
      </c>
      <c r="BO23" s="9">
        <v>1.4059999999999999</v>
      </c>
      <c r="BP23" s="6">
        <v>19.3</v>
      </c>
      <c r="BQ23" s="9">
        <v>1.2190000000000001</v>
      </c>
      <c r="BR23" s="6">
        <v>23.3</v>
      </c>
      <c r="BS23" s="9">
        <v>1.06</v>
      </c>
      <c r="BT23" s="6">
        <v>27.3</v>
      </c>
      <c r="BU23" s="9">
        <v>0.93400000000000005</v>
      </c>
    </row>
    <row r="24" spans="7:73" x14ac:dyDescent="0.25">
      <c r="G24">
        <v>100</v>
      </c>
      <c r="H24">
        <v>15</v>
      </c>
      <c r="I24">
        <v>6.2</v>
      </c>
      <c r="J24">
        <f t="shared" si="0"/>
        <v>6.2000000000000006E-3</v>
      </c>
      <c r="K24">
        <f t="shared" si="1"/>
        <v>4.1666666666666666E-3</v>
      </c>
      <c r="L24">
        <f t="shared" si="2"/>
        <v>1.4880000000000002</v>
      </c>
      <c r="M24">
        <f t="shared" si="13"/>
        <v>108.02177858439202</v>
      </c>
      <c r="AX24">
        <v>100</v>
      </c>
      <c r="AY24">
        <f>15</f>
        <v>15</v>
      </c>
      <c r="AZ24">
        <v>5.2</v>
      </c>
      <c r="BA24">
        <f t="shared" si="8"/>
        <v>5.2000000000000006E-3</v>
      </c>
      <c r="BB24">
        <f t="shared" si="9"/>
        <v>4.1666666666666666E-3</v>
      </c>
      <c r="BC24">
        <f t="shared" si="10"/>
        <v>1.2480000000000002</v>
      </c>
      <c r="BD24">
        <f t="shared" si="11"/>
        <v>90.598911070780403</v>
      </c>
      <c r="BE24" s="18">
        <f t="shared" si="12"/>
        <v>0.83870967741935476</v>
      </c>
      <c r="BL24" s="6">
        <v>11.4</v>
      </c>
      <c r="BM24" s="9">
        <v>1.6240000000000001</v>
      </c>
      <c r="BN24" s="6">
        <v>15.4</v>
      </c>
      <c r="BO24" s="9">
        <v>1.401</v>
      </c>
      <c r="BP24" s="6">
        <v>19.399999999999999</v>
      </c>
      <c r="BQ24" s="9">
        <v>1.214</v>
      </c>
      <c r="BR24" s="6">
        <v>23.4</v>
      </c>
      <c r="BS24" s="9">
        <v>1.056</v>
      </c>
      <c r="BT24" s="6">
        <v>27.4</v>
      </c>
      <c r="BU24" s="9">
        <v>0.93200000000000005</v>
      </c>
    </row>
    <row r="25" spans="7:73" x14ac:dyDescent="0.25">
      <c r="G25">
        <v>110</v>
      </c>
      <c r="H25">
        <v>15</v>
      </c>
      <c r="I25">
        <v>6.2</v>
      </c>
      <c r="J25">
        <f t="shared" si="0"/>
        <v>6.2000000000000006E-3</v>
      </c>
      <c r="K25">
        <f t="shared" si="1"/>
        <v>4.1666666666666666E-3</v>
      </c>
      <c r="L25">
        <f t="shared" si="2"/>
        <v>1.4880000000000002</v>
      </c>
      <c r="M25">
        <f t="shared" si="13"/>
        <v>108.02177858439202</v>
      </c>
      <c r="AX25">
        <v>110</v>
      </c>
      <c r="AY25">
        <f>15</f>
        <v>15</v>
      </c>
      <c r="AZ25">
        <v>5.2</v>
      </c>
      <c r="BA25">
        <f t="shared" si="8"/>
        <v>5.2000000000000006E-3</v>
      </c>
      <c r="BB25">
        <f t="shared" si="9"/>
        <v>4.1666666666666666E-3</v>
      </c>
      <c r="BC25">
        <f t="shared" si="10"/>
        <v>1.2480000000000002</v>
      </c>
      <c r="BD25">
        <f t="shared" si="11"/>
        <v>90.598911070780403</v>
      </c>
      <c r="BE25" s="18">
        <f t="shared" si="12"/>
        <v>0.83870967741935476</v>
      </c>
      <c r="BL25" s="6">
        <v>11.5</v>
      </c>
      <c r="BM25" s="9">
        <v>1.6180000000000001</v>
      </c>
      <c r="BN25" s="6">
        <v>15.5</v>
      </c>
      <c r="BO25" s="9">
        <v>1.3959999999999999</v>
      </c>
      <c r="BP25" s="6">
        <v>19.5</v>
      </c>
      <c r="BQ25" s="9">
        <v>1.21</v>
      </c>
      <c r="BR25" s="6">
        <v>23.5</v>
      </c>
      <c r="BS25" s="9">
        <v>1.0529999999999999</v>
      </c>
      <c r="BT25" s="6">
        <v>27.5</v>
      </c>
      <c r="BU25" s="9">
        <v>0.92900000000000005</v>
      </c>
    </row>
    <row r="26" spans="7:73" x14ac:dyDescent="0.25">
      <c r="G26">
        <v>120</v>
      </c>
      <c r="H26">
        <v>15</v>
      </c>
      <c r="I26">
        <v>6.2</v>
      </c>
      <c r="J26">
        <f t="shared" si="0"/>
        <v>6.2000000000000006E-3</v>
      </c>
      <c r="K26">
        <f t="shared" si="1"/>
        <v>4.1666666666666666E-3</v>
      </c>
      <c r="L26">
        <f t="shared" si="2"/>
        <v>1.4880000000000002</v>
      </c>
      <c r="M26">
        <f t="shared" si="13"/>
        <v>108.02177858439202</v>
      </c>
      <c r="AX26">
        <v>120</v>
      </c>
      <c r="AY26">
        <f>15</f>
        <v>15</v>
      </c>
      <c r="AZ26">
        <v>5.0999999999999996</v>
      </c>
      <c r="BA26">
        <f t="shared" si="8"/>
        <v>5.0999999999999995E-3</v>
      </c>
      <c r="BB26">
        <f t="shared" si="9"/>
        <v>4.1666666666666666E-3</v>
      </c>
      <c r="BC26">
        <f t="shared" si="10"/>
        <v>1.224</v>
      </c>
      <c r="BD26">
        <f t="shared" si="11"/>
        <v>88.856624319419225</v>
      </c>
      <c r="BE26" s="18">
        <f t="shared" si="12"/>
        <v>0.82258064516129015</v>
      </c>
      <c r="BL26" s="6">
        <v>11.6</v>
      </c>
      <c r="BM26" s="9">
        <v>1.611</v>
      </c>
      <c r="BN26" s="6">
        <v>15.6</v>
      </c>
      <c r="BO26" s="9">
        <v>1.391</v>
      </c>
      <c r="BP26" s="6">
        <v>19.600000000000001</v>
      </c>
      <c r="BQ26" s="9">
        <v>1.206</v>
      </c>
      <c r="BR26" s="6">
        <v>23.6</v>
      </c>
      <c r="BS26" s="9">
        <v>1.0489999999999999</v>
      </c>
      <c r="BT26" s="6">
        <v>27.6</v>
      </c>
      <c r="BU26" s="9">
        <v>0.92600000000000005</v>
      </c>
    </row>
    <row r="27" spans="7:73" x14ac:dyDescent="0.25">
      <c r="M27" s="1"/>
      <c r="BD27" s="1">
        <f>AVERAGE(BD14:BD26)</f>
        <v>88.990646377216251</v>
      </c>
      <c r="BE27" s="19"/>
      <c r="BL27" s="6">
        <v>11.7</v>
      </c>
      <c r="BM27" s="9">
        <v>1.605</v>
      </c>
      <c r="BN27" s="6">
        <v>15.7</v>
      </c>
      <c r="BO27" s="9">
        <v>1.3859999999999999</v>
      </c>
      <c r="BP27" s="6">
        <v>19.7</v>
      </c>
      <c r="BQ27" s="9">
        <v>1.2010000000000001</v>
      </c>
      <c r="BR27" s="6">
        <v>23.7</v>
      </c>
      <c r="BS27" s="9">
        <v>1.0449999999999999</v>
      </c>
      <c r="BT27" s="6">
        <v>27.7</v>
      </c>
      <c r="BU27" s="9">
        <v>0.92400000000000004</v>
      </c>
    </row>
    <row r="28" spans="7:73" x14ac:dyDescent="0.25">
      <c r="BL28" s="6">
        <v>11.8</v>
      </c>
      <c r="BM28" s="9">
        <v>1.6</v>
      </c>
      <c r="BN28" s="6">
        <v>15.8</v>
      </c>
      <c r="BO28" s="9">
        <v>1.381</v>
      </c>
      <c r="BP28" s="6">
        <v>19.8</v>
      </c>
      <c r="BQ28" s="9">
        <v>1.1970000000000001</v>
      </c>
      <c r="BR28" s="6">
        <v>23.8</v>
      </c>
      <c r="BS28" s="9">
        <v>1.042</v>
      </c>
      <c r="BT28" s="6">
        <v>27.8</v>
      </c>
      <c r="BU28" s="9">
        <v>0.92100000000000004</v>
      </c>
    </row>
    <row r="29" spans="7:73" x14ac:dyDescent="0.25">
      <c r="BL29" s="6">
        <v>11.9</v>
      </c>
      <c r="BM29" s="9">
        <v>1.5940000000000001</v>
      </c>
      <c r="BN29" s="6">
        <v>15.9</v>
      </c>
      <c r="BO29" s="9">
        <v>1.3759999999999999</v>
      </c>
      <c r="BP29" s="6">
        <v>19.899999999999999</v>
      </c>
      <c r="BQ29" s="9">
        <v>1.1930000000000001</v>
      </c>
      <c r="BR29" s="6">
        <v>23.9</v>
      </c>
      <c r="BS29" s="9">
        <v>1.038</v>
      </c>
      <c r="BT29" s="6">
        <v>27.9</v>
      </c>
      <c r="BU29" s="9">
        <v>0.91800000000000004</v>
      </c>
    </row>
    <row r="30" spans="7:73" x14ac:dyDescent="0.25">
      <c r="BL30" s="6">
        <v>12</v>
      </c>
      <c r="BM30" s="9">
        <v>1.5880000000000001</v>
      </c>
      <c r="BN30" s="6">
        <v>16</v>
      </c>
      <c r="BO30" s="9">
        <v>1.371</v>
      </c>
      <c r="BP30" s="6">
        <v>20</v>
      </c>
      <c r="BQ30" s="9">
        <v>1.1890000000000001</v>
      </c>
      <c r="BR30" s="6">
        <v>24</v>
      </c>
      <c r="BS30" s="9">
        <v>1.0349999999999999</v>
      </c>
      <c r="BT30" s="6">
        <v>28</v>
      </c>
      <c r="BU30" s="9">
        <v>0.91500000000000004</v>
      </c>
    </row>
    <row r="31" spans="7:73" x14ac:dyDescent="0.25">
      <c r="BL31" s="6">
        <v>12.1</v>
      </c>
      <c r="BM31" s="9">
        <v>1.5820000000000001</v>
      </c>
      <c r="BN31" s="6">
        <v>16.100000000000001</v>
      </c>
      <c r="BO31" s="9">
        <v>1.3660000000000001</v>
      </c>
      <c r="BP31" s="6">
        <v>20.100000000000001</v>
      </c>
      <c r="BQ31" s="9">
        <v>1.1850000000000001</v>
      </c>
      <c r="BR31" s="6">
        <v>24.1</v>
      </c>
      <c r="BS31" s="9">
        <v>1.0309999999999999</v>
      </c>
      <c r="BT31" s="6">
        <v>28.1</v>
      </c>
      <c r="BU31" s="9">
        <v>0.91300000000000003</v>
      </c>
    </row>
    <row r="32" spans="7:73" x14ac:dyDescent="0.25">
      <c r="BL32" s="6">
        <v>12.2</v>
      </c>
      <c r="BM32" s="9">
        <v>1.5760000000000001</v>
      </c>
      <c r="BN32" s="6">
        <v>16.2</v>
      </c>
      <c r="BO32" s="9">
        <v>1.361</v>
      </c>
      <c r="BP32" s="6">
        <v>20.2</v>
      </c>
      <c r="BQ32" s="9">
        <v>1.18</v>
      </c>
      <c r="BR32" s="6">
        <v>24.2</v>
      </c>
      <c r="BS32" s="9">
        <v>1.028</v>
      </c>
      <c r="BT32" s="6">
        <v>28.2</v>
      </c>
      <c r="BU32" s="9">
        <v>0.91</v>
      </c>
    </row>
    <row r="33" spans="7:73" x14ac:dyDescent="0.25">
      <c r="BL33" s="6">
        <v>12.3</v>
      </c>
      <c r="BM33" s="9">
        <v>1.57</v>
      </c>
      <c r="BN33" s="6">
        <v>16.3</v>
      </c>
      <c r="BO33" s="9">
        <v>1.3560000000000001</v>
      </c>
      <c r="BP33" s="6">
        <v>20.3</v>
      </c>
      <c r="BQ33" s="9">
        <v>1.1759999999999999</v>
      </c>
      <c r="BR33" s="6">
        <v>24.3</v>
      </c>
      <c r="BS33" s="9">
        <v>1.024</v>
      </c>
      <c r="BT33" s="6">
        <v>28.3</v>
      </c>
      <c r="BU33" s="9">
        <v>0.90800000000000003</v>
      </c>
    </row>
    <row r="34" spans="7:73" x14ac:dyDescent="0.25">
      <c r="BL34" s="6">
        <v>12.4</v>
      </c>
      <c r="BM34" s="9">
        <v>1.5640000000000001</v>
      </c>
      <c r="BN34" s="6">
        <v>16.399999999999999</v>
      </c>
      <c r="BO34" s="9">
        <v>1.351</v>
      </c>
      <c r="BP34" s="6">
        <v>20.399999999999999</v>
      </c>
      <c r="BQ34" s="9">
        <v>1.1719999999999999</v>
      </c>
      <c r="BR34" s="6">
        <v>24.4</v>
      </c>
      <c r="BS34" s="9">
        <v>1.0209999999999999</v>
      </c>
      <c r="BT34" s="6">
        <v>28.4</v>
      </c>
      <c r="BU34" s="9">
        <v>0.90500000000000003</v>
      </c>
    </row>
    <row r="35" spans="7:73" x14ac:dyDescent="0.25">
      <c r="BL35" s="6">
        <v>12.5</v>
      </c>
      <c r="BM35" s="9">
        <v>1.5580000000000001</v>
      </c>
      <c r="BN35" s="6">
        <v>16.5</v>
      </c>
      <c r="BO35" s="9">
        <v>1.347</v>
      </c>
      <c r="BP35" s="6">
        <v>20.5</v>
      </c>
      <c r="BQ35" s="9">
        <v>1.1679999999999999</v>
      </c>
      <c r="BR35" s="6">
        <v>24.5</v>
      </c>
      <c r="BS35" s="9">
        <v>1.0169999999999999</v>
      </c>
      <c r="BT35" s="6">
        <v>28.5</v>
      </c>
      <c r="BU35" s="9">
        <v>0.90200000000000002</v>
      </c>
    </row>
    <row r="36" spans="7:73" x14ac:dyDescent="0.25">
      <c r="BL36" s="6">
        <v>12.6</v>
      </c>
      <c r="BM36" s="9">
        <v>1.5529999999999999</v>
      </c>
      <c r="BN36" s="6">
        <v>16.600000000000001</v>
      </c>
      <c r="BO36" s="9">
        <v>1.3420000000000001</v>
      </c>
      <c r="BP36" s="6">
        <v>20.6</v>
      </c>
      <c r="BQ36" s="9">
        <v>1.1639999999999999</v>
      </c>
      <c r="BR36" s="6">
        <v>24.6</v>
      </c>
      <c r="BS36" s="9">
        <v>1.014</v>
      </c>
      <c r="BT36" s="6">
        <v>28.6</v>
      </c>
      <c r="BU36" s="9">
        <v>0.9</v>
      </c>
    </row>
    <row r="37" spans="7:73" x14ac:dyDescent="0.25">
      <c r="BL37" s="6">
        <v>12.7</v>
      </c>
      <c r="BM37" s="9">
        <v>1.5469999999999999</v>
      </c>
      <c r="BN37" s="6">
        <v>16.7</v>
      </c>
      <c r="BO37" s="9">
        <v>1.337</v>
      </c>
      <c r="BP37" s="6">
        <v>20.7</v>
      </c>
      <c r="BQ37" s="9">
        <v>1.1599999999999999</v>
      </c>
      <c r="BR37" s="6">
        <v>24.7</v>
      </c>
      <c r="BS37" s="9">
        <v>1.01</v>
      </c>
      <c r="BT37" s="6">
        <v>28.7</v>
      </c>
      <c r="BU37" s="9">
        <v>0.89700000000000002</v>
      </c>
    </row>
    <row r="38" spans="7:73" x14ac:dyDescent="0.25">
      <c r="G38" s="1" t="s">
        <v>0</v>
      </c>
      <c r="H38" s="1" t="s">
        <v>1</v>
      </c>
      <c r="I38" s="1" t="s">
        <v>2</v>
      </c>
      <c r="J38" s="13" t="s">
        <v>3</v>
      </c>
      <c r="K38" s="13" t="s">
        <v>15</v>
      </c>
      <c r="L38" s="13" t="s">
        <v>16</v>
      </c>
      <c r="M38" s="13" t="s">
        <v>17</v>
      </c>
      <c r="T38" s="1" t="s">
        <v>4</v>
      </c>
      <c r="U38" s="1"/>
      <c r="V38" s="1"/>
      <c r="W38" s="1" t="s">
        <v>5</v>
      </c>
      <c r="X38" s="1"/>
      <c r="Y38" s="1" t="s">
        <v>6</v>
      </c>
      <c r="Z38" s="1"/>
      <c r="BL38" s="6">
        <v>12.8</v>
      </c>
      <c r="BM38" s="9">
        <v>1.5409999999999999</v>
      </c>
      <c r="BN38" s="6">
        <v>16.8</v>
      </c>
      <c r="BO38" s="9">
        <v>1.3320000000000001</v>
      </c>
      <c r="BP38" s="6">
        <v>20.8</v>
      </c>
      <c r="BQ38" s="9">
        <v>1.1559999999999999</v>
      </c>
      <c r="BR38" s="6">
        <v>24.8</v>
      </c>
      <c r="BS38" s="9">
        <v>1.0069999999999999</v>
      </c>
      <c r="BT38" s="6">
        <v>28.8</v>
      </c>
      <c r="BU38" s="9">
        <v>0.89400000000000002</v>
      </c>
    </row>
    <row r="39" spans="7:73" x14ac:dyDescent="0.25">
      <c r="G39">
        <v>0</v>
      </c>
      <c r="H39">
        <f>15</f>
        <v>15</v>
      </c>
      <c r="I39">
        <v>7</v>
      </c>
      <c r="J39">
        <f>I39*10^-3</f>
        <v>7.0000000000000001E-3</v>
      </c>
      <c r="K39">
        <f>H39/3600</f>
        <v>4.1666666666666666E-3</v>
      </c>
      <c r="L39">
        <f>J39/K39</f>
        <v>1.6800000000000002</v>
      </c>
      <c r="M39">
        <f>J39/(K39*$O$8)</f>
        <v>121.9600725952813</v>
      </c>
      <c r="S39" t="s">
        <v>0</v>
      </c>
      <c r="T39" t="s">
        <v>7</v>
      </c>
      <c r="U39" t="s">
        <v>8</v>
      </c>
      <c r="V39" s="15" t="s">
        <v>9</v>
      </c>
      <c r="W39" t="s">
        <v>7</v>
      </c>
      <c r="X39" t="s">
        <v>8</v>
      </c>
      <c r="Y39" t="s">
        <v>7</v>
      </c>
      <c r="Z39" t="s">
        <v>8</v>
      </c>
      <c r="AA39" t="s">
        <v>9</v>
      </c>
      <c r="AB39" t="s">
        <v>10</v>
      </c>
      <c r="AC39" t="s">
        <v>1</v>
      </c>
      <c r="AD39" s="13" t="s">
        <v>15</v>
      </c>
      <c r="AE39" s="13" t="s">
        <v>19</v>
      </c>
      <c r="AF39" s="13" t="s">
        <v>20</v>
      </c>
      <c r="AG39" s="13" t="s">
        <v>21</v>
      </c>
      <c r="AH39" s="14" t="s">
        <v>22</v>
      </c>
      <c r="AI39" s="20" t="s">
        <v>33</v>
      </c>
      <c r="AJ39" s="13" t="s">
        <v>23</v>
      </c>
      <c r="AK39" s="22" t="s">
        <v>42</v>
      </c>
      <c r="AX39" t="s">
        <v>0</v>
      </c>
      <c r="AY39" t="s">
        <v>1</v>
      </c>
      <c r="AZ39" t="s">
        <v>2</v>
      </c>
      <c r="BA39" s="17" t="s">
        <v>3</v>
      </c>
      <c r="BB39" s="13" t="s">
        <v>15</v>
      </c>
      <c r="BC39" s="13" t="s">
        <v>16</v>
      </c>
      <c r="BD39" s="13" t="s">
        <v>17</v>
      </c>
      <c r="BE39" s="13" t="s">
        <v>24</v>
      </c>
      <c r="BF39" s="22" t="s">
        <v>43</v>
      </c>
      <c r="BL39" s="6">
        <v>12.9</v>
      </c>
      <c r="BM39" s="9">
        <v>1.536</v>
      </c>
      <c r="BN39" s="6">
        <v>16.899999999999999</v>
      </c>
      <c r="BO39" s="9">
        <v>1.327</v>
      </c>
      <c r="BP39" s="6">
        <v>20.9</v>
      </c>
      <c r="BQ39" s="9">
        <v>1.1519999999999999</v>
      </c>
      <c r="BR39" s="6">
        <v>24.9</v>
      </c>
      <c r="BS39" s="9">
        <v>1.0029999999999999</v>
      </c>
      <c r="BT39" s="6">
        <v>28.9</v>
      </c>
      <c r="BU39" s="9">
        <v>0.89200000000000002</v>
      </c>
    </row>
    <row r="40" spans="7:73" x14ac:dyDescent="0.25">
      <c r="G40">
        <v>10</v>
      </c>
      <c r="H40">
        <f>15</f>
        <v>15</v>
      </c>
      <c r="I40">
        <v>7.1</v>
      </c>
      <c r="J40">
        <f t="shared" ref="J40:J51" si="15">I40*10^-3</f>
        <v>7.0999999999999995E-3</v>
      </c>
      <c r="K40">
        <f t="shared" ref="K40:K51" si="16">H40/3600</f>
        <v>4.1666666666666666E-3</v>
      </c>
      <c r="L40">
        <f t="shared" ref="L40:L51" si="17">J40/K40</f>
        <v>1.704</v>
      </c>
      <c r="M40">
        <f t="shared" ref="M40:M51" si="18">J40/(K40*$O$8)</f>
        <v>123.70235934664245</v>
      </c>
      <c r="S40">
        <v>0</v>
      </c>
      <c r="T40">
        <v>253.6</v>
      </c>
      <c r="U40">
        <v>0.1598</v>
      </c>
      <c r="V40" s="15">
        <v>24.3</v>
      </c>
      <c r="W40">
        <v>253.2</v>
      </c>
      <c r="X40">
        <v>0.15210000000000001</v>
      </c>
      <c r="Y40">
        <v>3.5</v>
      </c>
      <c r="Z40">
        <v>2.3E-3</v>
      </c>
      <c r="AA40">
        <v>23.4</v>
      </c>
      <c r="AB40">
        <v>7.3</v>
      </c>
      <c r="AC40">
        <f>15</f>
        <v>15</v>
      </c>
      <c r="AD40">
        <f>AC40/3600</f>
        <v>4.1666666666666666E-3</v>
      </c>
      <c r="AE40">
        <f>AB40*10^-3</f>
        <v>7.3000000000000001E-3</v>
      </c>
      <c r="AF40">
        <f>AE40/AD40</f>
        <v>1.752</v>
      </c>
      <c r="AG40">
        <f>AE40/(AD40*$O$8)</f>
        <v>127.18693284936478</v>
      </c>
      <c r="AH40" s="15">
        <f>AG40*BS33</f>
        <v>130.23941923774953</v>
      </c>
      <c r="AI40" s="21">
        <f>AH40/$AH$40</f>
        <v>1</v>
      </c>
      <c r="AJ40" s="18">
        <f>($AH$40-AH40)/$AH$40</f>
        <v>0</v>
      </c>
      <c r="AK40" s="18">
        <f>AJ48</f>
        <v>0.12237799657534243</v>
      </c>
      <c r="AX40">
        <v>0</v>
      </c>
      <c r="AY40">
        <f>15</f>
        <v>15</v>
      </c>
      <c r="AZ40">
        <v>6.8</v>
      </c>
      <c r="BA40">
        <f>AZ40*10^-3</f>
        <v>6.7999999999999996E-3</v>
      </c>
      <c r="BB40">
        <f>AY40/3600</f>
        <v>4.1666666666666666E-3</v>
      </c>
      <c r="BC40">
        <f>BA40/BB40</f>
        <v>1.6319999999999999</v>
      </c>
      <c r="BD40">
        <f>BA40/(BB40*$O$8)</f>
        <v>118.47549909255896</v>
      </c>
      <c r="BE40" s="18">
        <f>(BD40/M39)</f>
        <v>0.97142857142857131</v>
      </c>
      <c r="BF40" s="18">
        <f>BD53/M52</f>
        <v>0.96875</v>
      </c>
      <c r="BL40" s="6">
        <v>13</v>
      </c>
      <c r="BM40" s="9">
        <v>1.53</v>
      </c>
      <c r="BN40" s="6">
        <v>17</v>
      </c>
      <c r="BO40" s="9">
        <v>1.323</v>
      </c>
      <c r="BP40" s="6">
        <v>21</v>
      </c>
      <c r="BQ40" s="9">
        <v>1.1479999999999999</v>
      </c>
      <c r="BR40" s="6">
        <v>25</v>
      </c>
      <c r="BS40" s="9">
        <v>1</v>
      </c>
      <c r="BT40" s="6">
        <v>29</v>
      </c>
      <c r="BU40" s="9">
        <v>0.88900000000000001</v>
      </c>
    </row>
    <row r="41" spans="7:73" x14ac:dyDescent="0.25">
      <c r="G41">
        <v>20</v>
      </c>
      <c r="H41">
        <f>15</f>
        <v>15</v>
      </c>
      <c r="I41">
        <v>7.1</v>
      </c>
      <c r="J41">
        <f t="shared" si="15"/>
        <v>7.0999999999999995E-3</v>
      </c>
      <c r="K41">
        <f t="shared" si="16"/>
        <v>4.1666666666666666E-3</v>
      </c>
      <c r="L41">
        <f t="shared" si="17"/>
        <v>1.704</v>
      </c>
      <c r="M41">
        <f t="shared" si="18"/>
        <v>123.70235934664245</v>
      </c>
      <c r="S41">
        <v>30</v>
      </c>
      <c r="T41">
        <v>260.89999999999998</v>
      </c>
      <c r="U41">
        <v>0.16259999999999999</v>
      </c>
      <c r="V41" s="15">
        <v>24.4</v>
      </c>
      <c r="W41">
        <v>261.8</v>
      </c>
      <c r="X41">
        <v>0.1701</v>
      </c>
      <c r="Y41">
        <v>3.4</v>
      </c>
      <c r="Z41">
        <v>2.3E-3</v>
      </c>
      <c r="AA41">
        <v>23.3</v>
      </c>
      <c r="AB41">
        <v>7.2</v>
      </c>
      <c r="AC41">
        <f>15</f>
        <v>15</v>
      </c>
      <c r="AD41">
        <f t="shared" ref="AD41:AD48" si="19">AC41/3600</f>
        <v>4.1666666666666666E-3</v>
      </c>
      <c r="AE41">
        <f t="shared" ref="AE41:AE48" si="20">AB41*10^-3</f>
        <v>7.2000000000000007E-3</v>
      </c>
      <c r="AF41">
        <f t="shared" ref="AF41:AF48" si="21">AE41/AD41</f>
        <v>1.7280000000000002</v>
      </c>
      <c r="AG41">
        <f t="shared" ref="AG41:AG48" si="22">AE41/(AD41*$O$8)</f>
        <v>125.44464609800363</v>
      </c>
      <c r="AH41" s="15">
        <f>AG41*BS34</f>
        <v>128.0789836660617</v>
      </c>
      <c r="AI41" s="21">
        <f t="shared" ref="AI41:AI48" si="23">AH41/$AH$40</f>
        <v>0.98341181506849329</v>
      </c>
      <c r="AJ41" s="18">
        <f t="shared" ref="AJ41:AJ48" si="24">($AH$40-AH41)/$AH$40</f>
        <v>1.6588184931506753E-2</v>
      </c>
      <c r="AX41">
        <v>10</v>
      </c>
      <c r="AY41">
        <f>15</f>
        <v>15</v>
      </c>
      <c r="AZ41">
        <v>6.8</v>
      </c>
      <c r="BA41">
        <f t="shared" ref="BA41:BA52" si="25">AZ41*10^-3</f>
        <v>6.7999999999999996E-3</v>
      </c>
      <c r="BB41">
        <f t="shared" ref="BB41:BB52" si="26">AY41/3600</f>
        <v>4.1666666666666666E-3</v>
      </c>
      <c r="BC41">
        <f t="shared" ref="BC41:BC52" si="27">BA41/BB41</f>
        <v>1.6319999999999999</v>
      </c>
      <c r="BD41">
        <f t="shared" ref="BD41:BD52" si="28">BA41/(BB41*$O$8)</f>
        <v>118.47549909255896</v>
      </c>
      <c r="BE41" s="18">
        <f t="shared" ref="BE41:BE52" si="29">(BD41/M40)</f>
        <v>0.95774647887323938</v>
      </c>
      <c r="BL41" s="6">
        <v>13.1</v>
      </c>
      <c r="BM41" s="9">
        <v>1.524</v>
      </c>
      <c r="BN41" s="6">
        <v>17.100000000000001</v>
      </c>
      <c r="BO41" s="9">
        <v>1.3180000000000001</v>
      </c>
      <c r="BP41" s="6">
        <v>21.1</v>
      </c>
      <c r="BQ41" s="9">
        <v>1.1439999999999999</v>
      </c>
      <c r="BR41" s="6">
        <v>25.1</v>
      </c>
      <c r="BS41" s="9">
        <v>0.997</v>
      </c>
      <c r="BT41" s="6">
        <v>29.1</v>
      </c>
      <c r="BU41" s="9">
        <v>0.88700000000000001</v>
      </c>
    </row>
    <row r="42" spans="7:73" x14ac:dyDescent="0.25">
      <c r="G42">
        <v>30</v>
      </c>
      <c r="H42">
        <f>15</f>
        <v>15</v>
      </c>
      <c r="I42">
        <v>7.3</v>
      </c>
      <c r="J42">
        <f t="shared" si="15"/>
        <v>7.3000000000000001E-3</v>
      </c>
      <c r="K42">
        <f t="shared" si="16"/>
        <v>4.1666666666666666E-3</v>
      </c>
      <c r="L42">
        <f t="shared" si="17"/>
        <v>1.752</v>
      </c>
      <c r="M42">
        <f t="shared" si="18"/>
        <v>127.18693284936478</v>
      </c>
      <c r="S42">
        <v>60</v>
      </c>
      <c r="T42">
        <v>275.7</v>
      </c>
      <c r="U42">
        <v>0.17879999999999999</v>
      </c>
      <c r="V42" s="15">
        <v>24.5</v>
      </c>
      <c r="W42">
        <v>286.2</v>
      </c>
      <c r="X42">
        <v>0.18090000000000001</v>
      </c>
      <c r="Y42">
        <v>3.4</v>
      </c>
      <c r="Z42">
        <v>2.2000000000000001E-3</v>
      </c>
      <c r="AA42">
        <v>23.3</v>
      </c>
      <c r="AB42">
        <v>7.1</v>
      </c>
      <c r="AC42">
        <f>15</f>
        <v>15</v>
      </c>
      <c r="AD42">
        <f t="shared" si="19"/>
        <v>4.1666666666666666E-3</v>
      </c>
      <c r="AE42">
        <f t="shared" si="20"/>
        <v>7.0999999999999995E-3</v>
      </c>
      <c r="AF42">
        <f t="shared" si="21"/>
        <v>1.704</v>
      </c>
      <c r="AG42">
        <f t="shared" si="22"/>
        <v>123.70235934664245</v>
      </c>
      <c r="AH42" s="15">
        <f>AG42*BS35</f>
        <v>125.80529945553536</v>
      </c>
      <c r="AI42" s="21">
        <f t="shared" si="23"/>
        <v>0.96595408818493145</v>
      </c>
      <c r="AJ42" s="18">
        <f t="shared" si="24"/>
        <v>3.4045911815068587E-2</v>
      </c>
      <c r="AX42">
        <v>20</v>
      </c>
      <c r="AY42">
        <f>15</f>
        <v>15</v>
      </c>
      <c r="AZ42">
        <v>6.7</v>
      </c>
      <c r="BA42">
        <f t="shared" si="25"/>
        <v>6.7000000000000002E-3</v>
      </c>
      <c r="BB42">
        <f t="shared" si="26"/>
        <v>4.1666666666666666E-3</v>
      </c>
      <c r="BC42">
        <f t="shared" si="27"/>
        <v>1.6080000000000001</v>
      </c>
      <c r="BD42">
        <f t="shared" si="28"/>
        <v>116.73321234119781</v>
      </c>
      <c r="BE42" s="18">
        <f t="shared" si="29"/>
        <v>0.94366197183098599</v>
      </c>
      <c r="BL42" s="6">
        <v>13.2</v>
      </c>
      <c r="BM42" s="9">
        <v>1.5189999999999999</v>
      </c>
      <c r="BN42" s="6">
        <v>17.2</v>
      </c>
      <c r="BO42" s="9">
        <v>1.3129999999999999</v>
      </c>
      <c r="BP42" s="6">
        <v>21.2</v>
      </c>
      <c r="BQ42" s="9">
        <v>1.1399999999999999</v>
      </c>
      <c r="BR42" s="6">
        <v>25.2</v>
      </c>
      <c r="BS42" s="9">
        <v>0.99399999999999999</v>
      </c>
      <c r="BT42" s="6">
        <v>29.2</v>
      </c>
      <c r="BU42" s="9">
        <v>0.88400000000000001</v>
      </c>
    </row>
    <row r="43" spans="7:73" x14ac:dyDescent="0.25">
      <c r="G43">
        <v>40</v>
      </c>
      <c r="H43">
        <f>15</f>
        <v>15</v>
      </c>
      <c r="I43">
        <v>6.8</v>
      </c>
      <c r="J43">
        <f t="shared" si="15"/>
        <v>6.7999999999999996E-3</v>
      </c>
      <c r="K43">
        <f t="shared" si="16"/>
        <v>4.1666666666666666E-3</v>
      </c>
      <c r="L43">
        <f t="shared" si="17"/>
        <v>1.6319999999999999</v>
      </c>
      <c r="M43">
        <f t="shared" si="18"/>
        <v>118.47549909255896</v>
      </c>
      <c r="S43">
        <v>90</v>
      </c>
      <c r="T43">
        <v>299.2</v>
      </c>
      <c r="U43">
        <v>0.18540000000000001</v>
      </c>
      <c r="V43" s="15">
        <v>24.6</v>
      </c>
      <c r="W43">
        <v>291.3</v>
      </c>
      <c r="X43">
        <v>0.18890000000000001</v>
      </c>
      <c r="Y43">
        <v>3.3</v>
      </c>
      <c r="Z43">
        <v>2.2000000000000001E-3</v>
      </c>
      <c r="AA43">
        <v>23.2</v>
      </c>
      <c r="AB43">
        <v>6.9</v>
      </c>
      <c r="AC43">
        <f>15</f>
        <v>15</v>
      </c>
      <c r="AD43">
        <f t="shared" si="19"/>
        <v>4.1666666666666666E-3</v>
      </c>
      <c r="AE43">
        <f t="shared" si="20"/>
        <v>6.9000000000000008E-3</v>
      </c>
      <c r="AF43">
        <f t="shared" si="21"/>
        <v>1.6560000000000001</v>
      </c>
      <c r="AG43">
        <f t="shared" si="22"/>
        <v>120.21778584392015</v>
      </c>
      <c r="AH43" s="15">
        <f>AG43*BS36</f>
        <v>121.90083484573503</v>
      </c>
      <c r="AI43" s="21">
        <f t="shared" si="23"/>
        <v>0.93597495719178103</v>
      </c>
      <c r="AJ43" s="18">
        <f t="shared" si="24"/>
        <v>6.402504280821901E-2</v>
      </c>
      <c r="AX43">
        <v>30</v>
      </c>
      <c r="AY43">
        <f>15</f>
        <v>15</v>
      </c>
      <c r="AZ43">
        <v>6.7</v>
      </c>
      <c r="BA43">
        <f t="shared" si="25"/>
        <v>6.7000000000000002E-3</v>
      </c>
      <c r="BB43">
        <f t="shared" si="26"/>
        <v>4.1666666666666666E-3</v>
      </c>
      <c r="BC43">
        <f t="shared" si="27"/>
        <v>1.6080000000000001</v>
      </c>
      <c r="BD43">
        <f t="shared" si="28"/>
        <v>116.73321234119781</v>
      </c>
      <c r="BE43" s="18">
        <f t="shared" si="29"/>
        <v>0.9178082191780822</v>
      </c>
      <c r="BL43" s="6">
        <v>13.3</v>
      </c>
      <c r="BM43" s="9">
        <v>1.5129999999999999</v>
      </c>
      <c r="BN43" s="6">
        <v>17.3</v>
      </c>
      <c r="BO43" s="9">
        <v>1.3080000000000001</v>
      </c>
      <c r="BP43" s="6">
        <v>21.3</v>
      </c>
      <c r="BQ43" s="9">
        <v>1.1359999999999999</v>
      </c>
      <c r="BR43" s="6">
        <v>25.3</v>
      </c>
      <c r="BS43" s="9">
        <v>0.99099999999999999</v>
      </c>
      <c r="BT43" s="6">
        <v>29.3</v>
      </c>
      <c r="BU43" s="9">
        <v>0.88200000000000001</v>
      </c>
    </row>
    <row r="44" spans="7:73" x14ac:dyDescent="0.25">
      <c r="G44">
        <v>50</v>
      </c>
      <c r="H44">
        <f>15</f>
        <v>15</v>
      </c>
      <c r="I44">
        <v>7</v>
      </c>
      <c r="J44">
        <f t="shared" si="15"/>
        <v>7.0000000000000001E-3</v>
      </c>
      <c r="K44">
        <f t="shared" si="16"/>
        <v>4.1666666666666666E-3</v>
      </c>
      <c r="L44">
        <f t="shared" si="17"/>
        <v>1.6800000000000002</v>
      </c>
      <c r="M44">
        <f t="shared" si="18"/>
        <v>121.9600725952813</v>
      </c>
      <c r="S44">
        <v>120</v>
      </c>
      <c r="T44">
        <v>315.7</v>
      </c>
      <c r="U44">
        <v>0.19600000000000001</v>
      </c>
      <c r="V44" s="15">
        <v>24.8</v>
      </c>
      <c r="W44">
        <v>317.89999999999998</v>
      </c>
      <c r="X44">
        <v>0.19120000000000001</v>
      </c>
      <c r="Y44">
        <v>3.5</v>
      </c>
      <c r="Z44">
        <v>2.3999999999999998E-3</v>
      </c>
      <c r="AA44">
        <v>23</v>
      </c>
      <c r="AB44">
        <v>6.8</v>
      </c>
      <c r="AC44">
        <f>15</f>
        <v>15</v>
      </c>
      <c r="AD44">
        <f t="shared" si="19"/>
        <v>4.1666666666666666E-3</v>
      </c>
      <c r="AE44">
        <f t="shared" si="20"/>
        <v>6.7999999999999996E-3</v>
      </c>
      <c r="AF44">
        <f t="shared" si="21"/>
        <v>1.6319999999999999</v>
      </c>
      <c r="AG44">
        <f t="shared" si="22"/>
        <v>118.47549909255896</v>
      </c>
      <c r="AH44" s="15">
        <f>AG44*BS38</f>
        <v>119.30482758620687</v>
      </c>
      <c r="AI44" s="21">
        <f t="shared" si="23"/>
        <v>0.91604238013698625</v>
      </c>
      <c r="AJ44" s="18">
        <f t="shared" si="24"/>
        <v>8.3957619863013797E-2</v>
      </c>
      <c r="AX44">
        <v>40</v>
      </c>
      <c r="AY44">
        <f>15</f>
        <v>15</v>
      </c>
      <c r="AZ44">
        <v>6.8</v>
      </c>
      <c r="BA44">
        <f t="shared" si="25"/>
        <v>6.7999999999999996E-3</v>
      </c>
      <c r="BB44">
        <f t="shared" si="26"/>
        <v>4.1666666666666666E-3</v>
      </c>
      <c r="BC44">
        <f t="shared" si="27"/>
        <v>1.6319999999999999</v>
      </c>
      <c r="BD44">
        <f t="shared" si="28"/>
        <v>118.47549909255896</v>
      </c>
      <c r="BE44" s="18">
        <f t="shared" si="29"/>
        <v>1</v>
      </c>
      <c r="BL44" s="6">
        <v>13.4</v>
      </c>
      <c r="BM44" s="9">
        <v>1.508</v>
      </c>
      <c r="BN44" s="6">
        <v>17.399999999999999</v>
      </c>
      <c r="BO44" s="9">
        <v>1.304</v>
      </c>
      <c r="BP44" s="6">
        <v>21.4</v>
      </c>
      <c r="BQ44" s="9">
        <v>1.1319999999999999</v>
      </c>
      <c r="BR44" s="6">
        <v>25.4</v>
      </c>
      <c r="BS44" s="9">
        <v>0.98799999999999999</v>
      </c>
      <c r="BT44" s="6">
        <v>29.4</v>
      </c>
      <c r="BU44" s="9">
        <v>0.879</v>
      </c>
    </row>
    <row r="45" spans="7:73" x14ac:dyDescent="0.25">
      <c r="G45">
        <v>60</v>
      </c>
      <c r="H45">
        <f>15</f>
        <v>15</v>
      </c>
      <c r="I45">
        <v>7</v>
      </c>
      <c r="J45">
        <f t="shared" si="15"/>
        <v>7.0000000000000001E-3</v>
      </c>
      <c r="K45">
        <f t="shared" si="16"/>
        <v>4.1666666666666666E-3</v>
      </c>
      <c r="L45">
        <f t="shared" si="17"/>
        <v>1.6800000000000002</v>
      </c>
      <c r="M45">
        <f t="shared" si="18"/>
        <v>121.9600725952813</v>
      </c>
      <c r="S45">
        <v>150</v>
      </c>
      <c r="T45">
        <v>342.8</v>
      </c>
      <c r="U45">
        <v>0.21329999999999999</v>
      </c>
      <c r="V45" s="15">
        <v>25</v>
      </c>
      <c r="W45">
        <v>349.2</v>
      </c>
      <c r="X45">
        <v>0.19769999999999999</v>
      </c>
      <c r="Y45">
        <v>3.6</v>
      </c>
      <c r="Z45">
        <v>2.3999999999999998E-3</v>
      </c>
      <c r="AA45">
        <v>22.9</v>
      </c>
      <c r="AB45">
        <v>6.8</v>
      </c>
      <c r="AC45">
        <f>15</f>
        <v>15</v>
      </c>
      <c r="AD45">
        <f t="shared" si="19"/>
        <v>4.1666666666666666E-3</v>
      </c>
      <c r="AE45">
        <f t="shared" si="20"/>
        <v>6.7999999999999996E-3</v>
      </c>
      <c r="AF45">
        <f t="shared" si="21"/>
        <v>1.6319999999999999</v>
      </c>
      <c r="AG45">
        <f t="shared" si="22"/>
        <v>118.47549909255896</v>
      </c>
      <c r="AH45" s="15">
        <f>AG45*BS40</f>
        <v>118.47549909255896</v>
      </c>
      <c r="AI45" s="21">
        <f t="shared" si="23"/>
        <v>0.90967465753424648</v>
      </c>
      <c r="AJ45" s="18">
        <f t="shared" si="24"/>
        <v>9.032534246575348E-2</v>
      </c>
      <c r="AX45">
        <v>50</v>
      </c>
      <c r="AY45">
        <f>15</f>
        <v>15</v>
      </c>
      <c r="AZ45">
        <v>6.7</v>
      </c>
      <c r="BA45">
        <f t="shared" si="25"/>
        <v>6.7000000000000002E-3</v>
      </c>
      <c r="BB45">
        <f t="shared" si="26"/>
        <v>4.1666666666666666E-3</v>
      </c>
      <c r="BC45">
        <f t="shared" si="27"/>
        <v>1.6080000000000001</v>
      </c>
      <c r="BD45">
        <f t="shared" si="28"/>
        <v>116.73321234119781</v>
      </c>
      <c r="BE45" s="18">
        <f t="shared" si="29"/>
        <v>0.95714285714285707</v>
      </c>
      <c r="BL45" s="6">
        <v>13.5</v>
      </c>
      <c r="BM45" s="9">
        <v>1.502</v>
      </c>
      <c r="BN45" s="6">
        <v>17.5</v>
      </c>
      <c r="BO45" s="9">
        <v>1.2989999999999999</v>
      </c>
      <c r="BP45" s="6">
        <v>21.5</v>
      </c>
      <c r="BQ45" s="9">
        <v>1.1279999999999999</v>
      </c>
      <c r="BR45" s="6">
        <v>25.5</v>
      </c>
      <c r="BS45" s="9">
        <v>0.98499999999999999</v>
      </c>
      <c r="BT45" s="6">
        <v>29.5</v>
      </c>
      <c r="BU45" s="9">
        <v>0.877</v>
      </c>
    </row>
    <row r="46" spans="7:73" x14ac:dyDescent="0.25">
      <c r="G46">
        <v>70</v>
      </c>
      <c r="H46">
        <f>15</f>
        <v>15</v>
      </c>
      <c r="I46">
        <v>7.1</v>
      </c>
      <c r="J46">
        <f t="shared" si="15"/>
        <v>7.0999999999999995E-3</v>
      </c>
      <c r="K46">
        <f t="shared" si="16"/>
        <v>4.1666666666666666E-3</v>
      </c>
      <c r="L46">
        <f t="shared" si="17"/>
        <v>1.704</v>
      </c>
      <c r="M46">
        <f t="shared" si="18"/>
        <v>123.70235934664245</v>
      </c>
      <c r="S46">
        <v>180</v>
      </c>
      <c r="T46">
        <v>358.7</v>
      </c>
      <c r="U46">
        <v>0.2319</v>
      </c>
      <c r="V46" s="15">
        <v>25.1</v>
      </c>
      <c r="W46">
        <v>368.5</v>
      </c>
      <c r="X46">
        <v>0.24110000000000001</v>
      </c>
      <c r="Y46">
        <v>3.6</v>
      </c>
      <c r="Z46">
        <v>2.5000000000000001E-3</v>
      </c>
      <c r="AA46">
        <v>22.8</v>
      </c>
      <c r="AB46">
        <v>6.6</v>
      </c>
      <c r="AC46">
        <f>15</f>
        <v>15</v>
      </c>
      <c r="AD46">
        <f t="shared" si="19"/>
        <v>4.1666666666666666E-3</v>
      </c>
      <c r="AE46">
        <f t="shared" si="20"/>
        <v>6.6E-3</v>
      </c>
      <c r="AF46">
        <f t="shared" si="21"/>
        <v>1.5840000000000001</v>
      </c>
      <c r="AG46">
        <f t="shared" si="22"/>
        <v>114.99092558983665</v>
      </c>
      <c r="AH46" s="15">
        <f>AG46*BS41</f>
        <v>114.64595281306714</v>
      </c>
      <c r="AI46" s="21">
        <f t="shared" si="23"/>
        <v>0.88027076198630139</v>
      </c>
      <c r="AJ46" s="18">
        <f t="shared" si="24"/>
        <v>0.1197292380136986</v>
      </c>
      <c r="AX46">
        <v>60</v>
      </c>
      <c r="AY46">
        <f>15</f>
        <v>15</v>
      </c>
      <c r="AZ46">
        <v>6.7</v>
      </c>
      <c r="BA46">
        <f t="shared" si="25"/>
        <v>6.7000000000000002E-3</v>
      </c>
      <c r="BB46">
        <f t="shared" si="26"/>
        <v>4.1666666666666666E-3</v>
      </c>
      <c r="BC46">
        <f t="shared" si="27"/>
        <v>1.6080000000000001</v>
      </c>
      <c r="BD46">
        <f t="shared" si="28"/>
        <v>116.73321234119781</v>
      </c>
      <c r="BE46" s="18">
        <f t="shared" si="29"/>
        <v>0.95714285714285707</v>
      </c>
      <c r="BL46" s="6">
        <v>13.6</v>
      </c>
      <c r="BM46" s="9">
        <v>1.496</v>
      </c>
      <c r="BN46" s="6">
        <v>17.600000000000001</v>
      </c>
      <c r="BO46" s="9">
        <v>1.294</v>
      </c>
      <c r="BP46" s="6">
        <v>21.6</v>
      </c>
      <c r="BQ46" s="9">
        <v>1.1240000000000001</v>
      </c>
      <c r="BR46" s="6">
        <v>25.6</v>
      </c>
      <c r="BS46" s="9">
        <v>0.98199999999999998</v>
      </c>
      <c r="BT46" s="6">
        <v>29.6</v>
      </c>
      <c r="BU46" s="9">
        <v>0.874</v>
      </c>
    </row>
    <row r="47" spans="7:73" x14ac:dyDescent="0.25">
      <c r="G47">
        <v>80</v>
      </c>
      <c r="H47">
        <f>15</f>
        <v>15</v>
      </c>
      <c r="I47">
        <v>6.8</v>
      </c>
      <c r="J47">
        <f t="shared" si="15"/>
        <v>6.7999999999999996E-3</v>
      </c>
      <c r="K47">
        <f t="shared" si="16"/>
        <v>4.1666666666666666E-3</v>
      </c>
      <c r="L47">
        <f t="shared" si="17"/>
        <v>1.6319999999999999</v>
      </c>
      <c r="M47">
        <f t="shared" si="18"/>
        <v>118.47549909255896</v>
      </c>
      <c r="S47">
        <v>210</v>
      </c>
      <c r="T47">
        <v>381.2</v>
      </c>
      <c r="U47">
        <v>0.23810000000000001</v>
      </c>
      <c r="V47" s="15">
        <v>25.1</v>
      </c>
      <c r="W47">
        <v>382.7</v>
      </c>
      <c r="X47">
        <v>0.24970000000000001</v>
      </c>
      <c r="Y47">
        <v>3.7</v>
      </c>
      <c r="Z47">
        <v>2.8E-3</v>
      </c>
      <c r="AA47">
        <v>22.7</v>
      </c>
      <c r="AB47">
        <v>6.6</v>
      </c>
      <c r="AC47">
        <f>15</f>
        <v>15</v>
      </c>
      <c r="AD47">
        <f t="shared" si="19"/>
        <v>4.1666666666666666E-3</v>
      </c>
      <c r="AE47">
        <f t="shared" si="20"/>
        <v>6.6E-3</v>
      </c>
      <c r="AF47">
        <f t="shared" si="21"/>
        <v>1.5840000000000001</v>
      </c>
      <c r="AG47">
        <f t="shared" si="22"/>
        <v>114.99092558983665</v>
      </c>
      <c r="AH47" s="15">
        <f>AG47*BS41</f>
        <v>114.64595281306714</v>
      </c>
      <c r="AI47" s="21">
        <f t="shared" si="23"/>
        <v>0.88027076198630139</v>
      </c>
      <c r="AJ47" s="18">
        <f t="shared" si="24"/>
        <v>0.1197292380136986</v>
      </c>
      <c r="AX47">
        <v>70</v>
      </c>
      <c r="AY47">
        <f>15</f>
        <v>15</v>
      </c>
      <c r="AZ47">
        <v>6.7</v>
      </c>
      <c r="BA47">
        <f t="shared" si="25"/>
        <v>6.7000000000000002E-3</v>
      </c>
      <c r="BB47">
        <f t="shared" si="26"/>
        <v>4.1666666666666666E-3</v>
      </c>
      <c r="BC47">
        <f t="shared" si="27"/>
        <v>1.6080000000000001</v>
      </c>
      <c r="BD47">
        <f t="shared" si="28"/>
        <v>116.73321234119781</v>
      </c>
      <c r="BE47" s="18">
        <f t="shared" si="29"/>
        <v>0.94366197183098599</v>
      </c>
      <c r="BL47" s="6">
        <v>13.7</v>
      </c>
      <c r="BM47" s="9">
        <v>1.4910000000000001</v>
      </c>
      <c r="BN47" s="6">
        <v>17.7</v>
      </c>
      <c r="BO47" s="9">
        <v>1.29</v>
      </c>
      <c r="BP47" s="6">
        <v>21.7</v>
      </c>
      <c r="BQ47" s="9">
        <v>1.1200000000000001</v>
      </c>
      <c r="BR47" s="6">
        <v>25.7</v>
      </c>
      <c r="BS47" s="9">
        <v>0.97899999999999998</v>
      </c>
      <c r="BT47" s="6">
        <v>29.7</v>
      </c>
      <c r="BU47" s="9">
        <v>0.871</v>
      </c>
    </row>
    <row r="48" spans="7:73" x14ac:dyDescent="0.25">
      <c r="G48">
        <v>90</v>
      </c>
      <c r="H48">
        <v>15</v>
      </c>
      <c r="I48">
        <v>6.6</v>
      </c>
      <c r="J48">
        <f t="shared" si="15"/>
        <v>6.6E-3</v>
      </c>
      <c r="K48">
        <f t="shared" si="16"/>
        <v>4.1666666666666666E-3</v>
      </c>
      <c r="L48">
        <f t="shared" si="17"/>
        <v>1.5840000000000001</v>
      </c>
      <c r="M48">
        <f t="shared" si="18"/>
        <v>114.99092558983665</v>
      </c>
      <c r="S48">
        <v>240</v>
      </c>
      <c r="T48">
        <v>405.6</v>
      </c>
      <c r="U48">
        <v>0.24959999999999999</v>
      </c>
      <c r="V48" s="15">
        <v>25.2</v>
      </c>
      <c r="W48">
        <v>431.7</v>
      </c>
      <c r="X48">
        <v>0.29010000000000002</v>
      </c>
      <c r="Y48">
        <v>3.7</v>
      </c>
      <c r="Z48">
        <v>2.8E-3</v>
      </c>
      <c r="AA48">
        <v>22.4</v>
      </c>
      <c r="AB48">
        <v>6.6</v>
      </c>
      <c r="AC48">
        <f>15</f>
        <v>15</v>
      </c>
      <c r="AD48">
        <f t="shared" si="19"/>
        <v>4.1666666666666666E-3</v>
      </c>
      <c r="AE48">
        <f t="shared" si="20"/>
        <v>6.6E-3</v>
      </c>
      <c r="AF48">
        <f t="shared" si="21"/>
        <v>1.5840000000000001</v>
      </c>
      <c r="AG48">
        <f t="shared" si="22"/>
        <v>114.99092558983665</v>
      </c>
      <c r="AH48" s="15">
        <f>AG48*BS42</f>
        <v>114.30098003629763</v>
      </c>
      <c r="AI48" s="21">
        <f t="shared" si="23"/>
        <v>0.87762200342465757</v>
      </c>
      <c r="AJ48" s="18">
        <f t="shared" si="24"/>
        <v>0.12237799657534243</v>
      </c>
      <c r="AX48">
        <v>80</v>
      </c>
      <c r="AY48">
        <f>15</f>
        <v>15</v>
      </c>
      <c r="AZ48">
        <v>6.6</v>
      </c>
      <c r="BA48">
        <f t="shared" si="25"/>
        <v>6.6E-3</v>
      </c>
      <c r="BB48">
        <f t="shared" si="26"/>
        <v>4.1666666666666666E-3</v>
      </c>
      <c r="BC48">
        <f t="shared" si="27"/>
        <v>1.5840000000000001</v>
      </c>
      <c r="BD48">
        <f t="shared" si="28"/>
        <v>114.99092558983665</v>
      </c>
      <c r="BE48" s="18">
        <f t="shared" si="29"/>
        <v>0.97058823529411775</v>
      </c>
      <c r="BL48" s="6">
        <v>13.8</v>
      </c>
      <c r="BM48" s="9">
        <v>1.486</v>
      </c>
      <c r="BN48" s="6">
        <v>17.8</v>
      </c>
      <c r="BO48" s="9">
        <v>1.2849999999999999</v>
      </c>
      <c r="BP48" s="6">
        <v>21.8</v>
      </c>
      <c r="BQ48" s="9">
        <v>1.1160000000000001</v>
      </c>
      <c r="BR48" s="6">
        <v>25.8</v>
      </c>
      <c r="BS48" s="9">
        <v>0.97699999999999998</v>
      </c>
      <c r="BT48" s="6">
        <v>29.8</v>
      </c>
      <c r="BU48" s="9">
        <v>0.86899999999999999</v>
      </c>
    </row>
    <row r="49" spans="7:73" x14ac:dyDescent="0.25">
      <c r="G49">
        <v>100</v>
      </c>
      <c r="H49">
        <v>15</v>
      </c>
      <c r="I49">
        <v>6.7</v>
      </c>
      <c r="J49">
        <f t="shared" si="15"/>
        <v>6.7000000000000002E-3</v>
      </c>
      <c r="K49">
        <f t="shared" si="16"/>
        <v>4.1666666666666666E-3</v>
      </c>
      <c r="L49">
        <f t="shared" si="17"/>
        <v>1.6080000000000001</v>
      </c>
      <c r="M49">
        <f t="shared" si="18"/>
        <v>116.73321234119781</v>
      </c>
      <c r="AG49" s="1">
        <f>AVERAGE(AG40:AG48)</f>
        <v>119.83061101028433</v>
      </c>
      <c r="AH49" s="16">
        <f>AVERAGE(AH40:AH48)</f>
        <v>120.82197217180884</v>
      </c>
      <c r="AJ49" s="19"/>
      <c r="AX49">
        <v>90</v>
      </c>
      <c r="AY49">
        <f>15</f>
        <v>15</v>
      </c>
      <c r="AZ49">
        <v>6.6</v>
      </c>
      <c r="BA49">
        <f t="shared" si="25"/>
        <v>6.6E-3</v>
      </c>
      <c r="BB49">
        <f t="shared" si="26"/>
        <v>4.1666666666666666E-3</v>
      </c>
      <c r="BC49">
        <f t="shared" si="27"/>
        <v>1.5840000000000001</v>
      </c>
      <c r="BD49">
        <f t="shared" si="28"/>
        <v>114.99092558983665</v>
      </c>
      <c r="BE49" s="18">
        <f t="shared" si="29"/>
        <v>1</v>
      </c>
      <c r="BL49" s="6">
        <v>13.9</v>
      </c>
      <c r="BM49" s="9">
        <v>1.48</v>
      </c>
      <c r="BN49" s="6">
        <v>17.899999999999999</v>
      </c>
      <c r="BO49" s="9">
        <v>1.2809999999999999</v>
      </c>
      <c r="BP49" s="6">
        <v>21.9</v>
      </c>
      <c r="BQ49" s="9">
        <v>1.1120000000000001</v>
      </c>
      <c r="BR49" s="6">
        <v>25.9</v>
      </c>
      <c r="BS49" s="9">
        <v>0.97399999999999998</v>
      </c>
      <c r="BT49" s="6">
        <v>29.9</v>
      </c>
      <c r="BU49" s="9">
        <v>0.86599999999999999</v>
      </c>
    </row>
    <row r="50" spans="7:73" x14ac:dyDescent="0.25">
      <c r="G50">
        <v>110</v>
      </c>
      <c r="H50">
        <v>15</v>
      </c>
      <c r="I50">
        <v>6.6</v>
      </c>
      <c r="J50">
        <f t="shared" si="15"/>
        <v>6.6E-3</v>
      </c>
      <c r="K50">
        <f t="shared" si="16"/>
        <v>4.1666666666666666E-3</v>
      </c>
      <c r="L50">
        <f t="shared" si="17"/>
        <v>1.5840000000000001</v>
      </c>
      <c r="M50">
        <f t="shared" si="18"/>
        <v>114.99092558983665</v>
      </c>
      <c r="AX50">
        <v>100</v>
      </c>
      <c r="AY50">
        <f>15</f>
        <v>15</v>
      </c>
      <c r="AZ50">
        <v>6.6</v>
      </c>
      <c r="BA50">
        <f t="shared" si="25"/>
        <v>6.6E-3</v>
      </c>
      <c r="BB50">
        <f t="shared" si="26"/>
        <v>4.1666666666666666E-3</v>
      </c>
      <c r="BC50">
        <f t="shared" si="27"/>
        <v>1.5840000000000001</v>
      </c>
      <c r="BD50">
        <f t="shared" si="28"/>
        <v>114.99092558983665</v>
      </c>
      <c r="BE50" s="18">
        <f t="shared" si="29"/>
        <v>0.9850746268656716</v>
      </c>
    </row>
    <row r="51" spans="7:73" x14ac:dyDescent="0.25">
      <c r="G51">
        <v>120</v>
      </c>
      <c r="H51">
        <v>15</v>
      </c>
      <c r="I51">
        <v>6.5</v>
      </c>
      <c r="J51">
        <f t="shared" si="15"/>
        <v>6.5000000000000006E-3</v>
      </c>
      <c r="K51">
        <f t="shared" si="16"/>
        <v>4.1666666666666666E-3</v>
      </c>
      <c r="L51">
        <f t="shared" si="17"/>
        <v>1.56</v>
      </c>
      <c r="M51">
        <f t="shared" si="18"/>
        <v>113.2486388384755</v>
      </c>
      <c r="AX51">
        <v>110</v>
      </c>
      <c r="AY51">
        <f>15</f>
        <v>15</v>
      </c>
      <c r="AZ51">
        <v>6.6</v>
      </c>
      <c r="BA51">
        <f t="shared" si="25"/>
        <v>6.6E-3</v>
      </c>
      <c r="BB51">
        <f t="shared" si="26"/>
        <v>4.1666666666666666E-3</v>
      </c>
      <c r="BC51">
        <f t="shared" si="27"/>
        <v>1.5840000000000001</v>
      </c>
      <c r="BD51">
        <f t="shared" si="28"/>
        <v>114.99092558983665</v>
      </c>
      <c r="BE51" s="18">
        <f t="shared" si="29"/>
        <v>1</v>
      </c>
    </row>
    <row r="52" spans="7:73" x14ac:dyDescent="0.25">
      <c r="M52" s="1">
        <f>AVERAGE(M39:M51)</f>
        <v>120.08376378612313</v>
      </c>
      <c r="AX52">
        <v>120</v>
      </c>
      <c r="AY52">
        <f>15</f>
        <v>15</v>
      </c>
      <c r="AZ52">
        <v>6.5</v>
      </c>
      <c r="BA52">
        <f t="shared" si="25"/>
        <v>6.5000000000000006E-3</v>
      </c>
      <c r="BB52">
        <f t="shared" si="26"/>
        <v>4.1666666666666666E-3</v>
      </c>
      <c r="BC52">
        <f t="shared" si="27"/>
        <v>1.56</v>
      </c>
      <c r="BD52">
        <f t="shared" si="28"/>
        <v>113.2486388384755</v>
      </c>
      <c r="BE52" s="18">
        <f t="shared" si="29"/>
        <v>1</v>
      </c>
    </row>
    <row r="53" spans="7:73" x14ac:dyDescent="0.25">
      <c r="BD53" s="1">
        <f>AVERAGE(BD40:BD52)</f>
        <v>116.33114616780678</v>
      </c>
      <c r="BE53" s="19">
        <f>AVERAGE(BE40:BE52)</f>
        <v>0.96955813766056675</v>
      </c>
    </row>
    <row r="62" spans="7:73" x14ac:dyDescent="0.25">
      <c r="T62" s="1" t="s">
        <v>4</v>
      </c>
      <c r="W62" s="1" t="s">
        <v>5</v>
      </c>
      <c r="Y62" s="1" t="s">
        <v>6</v>
      </c>
    </row>
    <row r="63" spans="7:73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20" t="s">
        <v>33</v>
      </c>
      <c r="AJ63" s="13" t="s">
        <v>23</v>
      </c>
      <c r="AK63" s="22" t="s">
        <v>23</v>
      </c>
      <c r="AX63" t="s">
        <v>0</v>
      </c>
      <c r="AY63" t="s">
        <v>1</v>
      </c>
      <c r="AZ63" t="s">
        <v>2</v>
      </c>
      <c r="BA63" s="17" t="s">
        <v>3</v>
      </c>
      <c r="BB63" s="13" t="s">
        <v>15</v>
      </c>
      <c r="BC63" s="13" t="s">
        <v>16</v>
      </c>
      <c r="BD63" s="13" t="s">
        <v>17</v>
      </c>
      <c r="BE63" s="13" t="s">
        <v>24</v>
      </c>
      <c r="BF63" s="22" t="s">
        <v>24</v>
      </c>
    </row>
    <row r="64" spans="7:73" hidden="1" x14ac:dyDescent="0.25">
      <c r="G64">
        <v>0</v>
      </c>
      <c r="H64">
        <f>15</f>
        <v>15</v>
      </c>
      <c r="I64">
        <v>7.1</v>
      </c>
      <c r="J64">
        <f>I64*10^-3</f>
        <v>7.0999999999999995E-3</v>
      </c>
      <c r="K64">
        <f>H64/3600</f>
        <v>4.1666666666666666E-3</v>
      </c>
      <c r="L64">
        <f>J64/K64</f>
        <v>1.704</v>
      </c>
      <c r="M64">
        <f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20"/>
      <c r="AJ64" s="13"/>
      <c r="AX64" t="s">
        <v>0</v>
      </c>
      <c r="AY64" t="s">
        <v>1</v>
      </c>
      <c r="AZ64" t="s">
        <v>2</v>
      </c>
      <c r="BA64" s="17" t="s">
        <v>3</v>
      </c>
      <c r="BB64" s="13" t="s">
        <v>15</v>
      </c>
      <c r="BC64" s="13" t="s">
        <v>16</v>
      </c>
      <c r="BD64" s="13" t="s">
        <v>17</v>
      </c>
      <c r="BE64" t="s">
        <v>25</v>
      </c>
    </row>
    <row r="65" spans="7:58" x14ac:dyDescent="0.25">
      <c r="G65">
        <v>10</v>
      </c>
      <c r="H65">
        <f>15</f>
        <v>15</v>
      </c>
      <c r="I65">
        <v>7.1</v>
      </c>
      <c r="J65">
        <f t="shared" ref="J65:J76" si="30">I65*10^-3</f>
        <v>7.0999999999999995E-3</v>
      </c>
      <c r="K65">
        <f t="shared" ref="K65:K76" si="31">H65/3600</f>
        <v>4.1666666666666666E-3</v>
      </c>
      <c r="L65">
        <f t="shared" ref="L65:L76" si="32">J65/K65</f>
        <v>1.704</v>
      </c>
      <c r="M65">
        <f t="shared" ref="M65:M76" si="33">J65/(K65*$O$8)</f>
        <v>123.70235934664245</v>
      </c>
      <c r="S65">
        <v>0</v>
      </c>
      <c r="T65">
        <v>248.9</v>
      </c>
      <c r="U65">
        <v>0.15340000000000001</v>
      </c>
      <c r="V65" s="15">
        <v>24.1</v>
      </c>
      <c r="W65">
        <v>241.9</v>
      </c>
      <c r="X65">
        <v>0.1489</v>
      </c>
      <c r="Y65">
        <v>3.1</v>
      </c>
      <c r="Z65">
        <v>2.0999999999999999E-3</v>
      </c>
      <c r="AA65">
        <v>23.1</v>
      </c>
      <c r="AB65">
        <v>7.1</v>
      </c>
      <c r="AC65">
        <f>15</f>
        <v>15</v>
      </c>
      <c r="AD65">
        <f>AC65/3600</f>
        <v>4.1666666666666666E-3</v>
      </c>
      <c r="AE65">
        <f>AB65*10^-3</f>
        <v>7.0999999999999995E-3</v>
      </c>
      <c r="AF65">
        <f>AE65/AD65</f>
        <v>1.704</v>
      </c>
      <c r="AG65">
        <f>AE65/(AD65*$O$8)</f>
        <v>123.70235934664245</v>
      </c>
      <c r="AH65" s="15">
        <f>AG65*BS31</f>
        <v>127.53713248638836</v>
      </c>
      <c r="AI65" s="21">
        <f>AH65/$AH$65</f>
        <v>1</v>
      </c>
      <c r="AJ65" s="18">
        <f>($AH$65-AH65)/$AH$65</f>
        <v>0</v>
      </c>
      <c r="AK65" s="18">
        <f>AJ73</f>
        <v>0.12681520744252125</v>
      </c>
      <c r="AX65">
        <v>0</v>
      </c>
      <c r="AY65">
        <f>15</f>
        <v>15</v>
      </c>
      <c r="AZ65">
        <v>6.9</v>
      </c>
      <c r="BA65">
        <f>AZ65*10^-3</f>
        <v>6.9000000000000008E-3</v>
      </c>
      <c r="BB65">
        <f>AY65/3600</f>
        <v>4.1666666666666666E-3</v>
      </c>
      <c r="BC65">
        <f>BA65/BB65</f>
        <v>1.6560000000000001</v>
      </c>
      <c r="BD65">
        <f>BA65/(BB65*$O$8)</f>
        <v>120.21778584392015</v>
      </c>
      <c r="BE65" s="18">
        <f>(BD65/M65)</f>
        <v>0.97183098591549311</v>
      </c>
      <c r="BF65" s="18">
        <f>BD78/M77</f>
        <v>0.94266813671444316</v>
      </c>
    </row>
    <row r="66" spans="7:58" x14ac:dyDescent="0.25">
      <c r="G66">
        <v>20</v>
      </c>
      <c r="H66">
        <f>15</f>
        <v>15</v>
      </c>
      <c r="I66">
        <v>7.2</v>
      </c>
      <c r="J66">
        <f t="shared" si="30"/>
        <v>7.2000000000000007E-3</v>
      </c>
      <c r="K66">
        <f t="shared" si="31"/>
        <v>4.1666666666666666E-3</v>
      </c>
      <c r="L66">
        <f t="shared" si="32"/>
        <v>1.7280000000000002</v>
      </c>
      <c r="M66">
        <f t="shared" si="33"/>
        <v>125.44464609800363</v>
      </c>
      <c r="S66">
        <v>30</v>
      </c>
      <c r="T66">
        <v>251.2</v>
      </c>
      <c r="U66">
        <v>0.15820000000000001</v>
      </c>
      <c r="V66" s="15">
        <v>24.3</v>
      </c>
      <c r="W66">
        <v>249.4</v>
      </c>
      <c r="X66">
        <v>0.15559999999999999</v>
      </c>
      <c r="Y66">
        <v>3.1</v>
      </c>
      <c r="Z66">
        <v>2.0999999999999999E-3</v>
      </c>
      <c r="AA66">
        <v>23.2</v>
      </c>
      <c r="AB66">
        <v>7.1</v>
      </c>
      <c r="AC66">
        <f>15</f>
        <v>15</v>
      </c>
      <c r="AD66">
        <f t="shared" ref="AD66:AD73" si="34">AC66/3600</f>
        <v>4.1666666666666666E-3</v>
      </c>
      <c r="AE66">
        <f t="shared" ref="AE66:AE73" si="35">AB66*10^-3</f>
        <v>7.0999999999999995E-3</v>
      </c>
      <c r="AF66">
        <f t="shared" ref="AF66:AF73" si="36">AE66/AD66</f>
        <v>1.704</v>
      </c>
      <c r="AG66">
        <f t="shared" ref="AG66:AG73" si="37">AE66/(AD66*$O$8)</f>
        <v>123.70235934664245</v>
      </c>
      <c r="AH66" s="15">
        <f>AG66*BS33</f>
        <v>126.67121597096187</v>
      </c>
      <c r="AI66" s="21">
        <f t="shared" ref="AI66:AI73" si="38">AH66/$AH$65</f>
        <v>0.99321047526673134</v>
      </c>
      <c r="AJ66" s="18">
        <f>($AH$65-AH66)/$AH$65</f>
        <v>6.7895247332686245E-3</v>
      </c>
      <c r="AX66">
        <v>10</v>
      </c>
      <c r="AY66">
        <f>15</f>
        <v>15</v>
      </c>
      <c r="AZ66">
        <v>6.9</v>
      </c>
      <c r="BA66">
        <f t="shared" ref="BA66:BA77" si="39">AZ66*10^-3</f>
        <v>6.9000000000000008E-3</v>
      </c>
      <c r="BB66">
        <f t="shared" ref="BB66:BB77" si="40">AY66/3600</f>
        <v>4.1666666666666666E-3</v>
      </c>
      <c r="BC66">
        <f t="shared" ref="BC66:BC77" si="41">BA66/BB66</f>
        <v>1.6560000000000001</v>
      </c>
      <c r="BD66">
        <f t="shared" ref="BD66:BD77" si="42">BA66/(BB66*$O$8)</f>
        <v>120.21778584392015</v>
      </c>
      <c r="BE66" s="18">
        <f t="shared" ref="BE66:BE77" si="43">(BD66/M66)</f>
        <v>0.95833333333333337</v>
      </c>
    </row>
    <row r="67" spans="7:58" x14ac:dyDescent="0.25">
      <c r="G67">
        <v>30</v>
      </c>
      <c r="H67">
        <f>15</f>
        <v>15</v>
      </c>
      <c r="I67">
        <v>7.2</v>
      </c>
      <c r="J67">
        <f t="shared" si="30"/>
        <v>7.2000000000000007E-3</v>
      </c>
      <c r="K67">
        <f t="shared" si="31"/>
        <v>4.1666666666666666E-3</v>
      </c>
      <c r="L67">
        <f t="shared" si="32"/>
        <v>1.7280000000000002</v>
      </c>
      <c r="M67">
        <f t="shared" si="33"/>
        <v>125.44464609800363</v>
      </c>
      <c r="S67">
        <v>60</v>
      </c>
      <c r="T67">
        <v>258.7</v>
      </c>
      <c r="U67">
        <v>0.1603</v>
      </c>
      <c r="V67" s="15">
        <v>24.6</v>
      </c>
      <c r="W67">
        <v>260.2</v>
      </c>
      <c r="X67">
        <v>0.16250000000000001</v>
      </c>
      <c r="Y67">
        <v>3.2</v>
      </c>
      <c r="Z67">
        <v>2.2000000000000001E-3</v>
      </c>
      <c r="AA67">
        <v>22.9</v>
      </c>
      <c r="AB67">
        <v>7.1</v>
      </c>
      <c r="AC67">
        <f>15</f>
        <v>15</v>
      </c>
      <c r="AD67">
        <f t="shared" si="34"/>
        <v>4.1666666666666666E-3</v>
      </c>
      <c r="AE67">
        <f t="shared" si="35"/>
        <v>7.0999999999999995E-3</v>
      </c>
      <c r="AF67">
        <f t="shared" si="36"/>
        <v>1.704</v>
      </c>
      <c r="AG67">
        <f t="shared" si="37"/>
        <v>123.70235934664245</v>
      </c>
      <c r="AH67" s="15">
        <f>AG67*BS36</f>
        <v>125.43419237749545</v>
      </c>
      <c r="AI67" s="21">
        <f t="shared" si="38"/>
        <v>0.98351115421920476</v>
      </c>
      <c r="AJ67" s="18">
        <f t="shared" ref="AJ67:AJ73" si="44">($AH$65-AH67)/$AH$65</f>
        <v>1.6488845780795246E-2</v>
      </c>
      <c r="AX67">
        <v>20</v>
      </c>
      <c r="AY67">
        <f>15</f>
        <v>15</v>
      </c>
      <c r="AZ67">
        <v>6.8</v>
      </c>
      <c r="BA67">
        <f t="shared" si="39"/>
        <v>6.7999999999999996E-3</v>
      </c>
      <c r="BB67">
        <f t="shared" si="40"/>
        <v>4.1666666666666666E-3</v>
      </c>
      <c r="BC67">
        <f t="shared" si="41"/>
        <v>1.6319999999999999</v>
      </c>
      <c r="BD67">
        <f t="shared" si="42"/>
        <v>118.47549909255896</v>
      </c>
      <c r="BE67" s="18">
        <f t="shared" si="43"/>
        <v>0.94444444444444431</v>
      </c>
    </row>
    <row r="68" spans="7:58" x14ac:dyDescent="0.25">
      <c r="G68">
        <v>40</v>
      </c>
      <c r="H68">
        <f>15</f>
        <v>15</v>
      </c>
      <c r="I68">
        <v>7.2</v>
      </c>
      <c r="J68">
        <f t="shared" si="30"/>
        <v>7.2000000000000007E-3</v>
      </c>
      <c r="K68">
        <f t="shared" si="31"/>
        <v>4.1666666666666666E-3</v>
      </c>
      <c r="L68">
        <f t="shared" si="32"/>
        <v>1.7280000000000002</v>
      </c>
      <c r="M68">
        <f t="shared" si="33"/>
        <v>125.44464609800363</v>
      </c>
      <c r="S68">
        <v>90</v>
      </c>
      <c r="T68">
        <v>267.39999999999998</v>
      </c>
      <c r="U68">
        <v>0.16950000000000001</v>
      </c>
      <c r="V68" s="15">
        <v>24.9</v>
      </c>
      <c r="W68">
        <v>278.10000000000002</v>
      </c>
      <c r="X68">
        <v>0.1739</v>
      </c>
      <c r="Y68">
        <v>3.3</v>
      </c>
      <c r="Z68">
        <v>2.3E-3</v>
      </c>
      <c r="AA68">
        <v>22.7</v>
      </c>
      <c r="AB68">
        <v>7</v>
      </c>
      <c r="AC68">
        <f>15</f>
        <v>15</v>
      </c>
      <c r="AD68">
        <f t="shared" si="34"/>
        <v>4.1666666666666666E-3</v>
      </c>
      <c r="AE68">
        <f t="shared" si="35"/>
        <v>7.0000000000000001E-3</v>
      </c>
      <c r="AF68">
        <f t="shared" si="36"/>
        <v>1.6800000000000002</v>
      </c>
      <c r="AG68">
        <f t="shared" si="37"/>
        <v>121.9600725952813</v>
      </c>
      <c r="AH68" s="15">
        <f>AG68*BS39</f>
        <v>122.32595281306713</v>
      </c>
      <c r="AI68" s="21">
        <f t="shared" si="38"/>
        <v>0.95913990246034897</v>
      </c>
      <c r="AJ68" s="18">
        <f t="shared" si="44"/>
        <v>4.0860097539651044E-2</v>
      </c>
      <c r="AX68">
        <v>30</v>
      </c>
      <c r="AY68">
        <f>15</f>
        <v>15</v>
      </c>
      <c r="AZ68">
        <v>6.7</v>
      </c>
      <c r="BA68">
        <f t="shared" si="39"/>
        <v>6.7000000000000002E-3</v>
      </c>
      <c r="BB68">
        <f t="shared" si="40"/>
        <v>4.1666666666666666E-3</v>
      </c>
      <c r="BC68">
        <f t="shared" si="41"/>
        <v>1.6080000000000001</v>
      </c>
      <c r="BD68">
        <f t="shared" si="42"/>
        <v>116.73321234119781</v>
      </c>
      <c r="BE68" s="18">
        <f t="shared" si="43"/>
        <v>0.93055555555555547</v>
      </c>
    </row>
    <row r="69" spans="7:58" x14ac:dyDescent="0.25">
      <c r="G69">
        <v>50</v>
      </c>
      <c r="H69">
        <f>15</f>
        <v>15</v>
      </c>
      <c r="I69">
        <v>7</v>
      </c>
      <c r="J69">
        <f t="shared" si="30"/>
        <v>7.0000000000000001E-3</v>
      </c>
      <c r="K69">
        <f t="shared" si="31"/>
        <v>4.1666666666666666E-3</v>
      </c>
      <c r="L69">
        <f t="shared" si="32"/>
        <v>1.6800000000000002</v>
      </c>
      <c r="M69">
        <f t="shared" si="33"/>
        <v>121.9600725952813</v>
      </c>
      <c r="S69">
        <v>120</v>
      </c>
      <c r="T69">
        <v>291.3</v>
      </c>
      <c r="U69">
        <v>0.1787</v>
      </c>
      <c r="V69" s="15">
        <v>25.3</v>
      </c>
      <c r="W69">
        <v>303.3</v>
      </c>
      <c r="X69">
        <v>0.1812</v>
      </c>
      <c r="Y69">
        <v>3.4</v>
      </c>
      <c r="Z69">
        <v>2.3999999999999998E-3</v>
      </c>
      <c r="AA69">
        <v>22.6</v>
      </c>
      <c r="AB69">
        <v>6.9</v>
      </c>
      <c r="AC69">
        <f>15</f>
        <v>15</v>
      </c>
      <c r="AD69">
        <f t="shared" si="34"/>
        <v>4.1666666666666666E-3</v>
      </c>
      <c r="AE69">
        <f t="shared" si="35"/>
        <v>6.9000000000000008E-3</v>
      </c>
      <c r="AF69">
        <f t="shared" si="36"/>
        <v>1.6560000000000001</v>
      </c>
      <c r="AG69">
        <f t="shared" si="37"/>
        <v>120.21778584392015</v>
      </c>
      <c r="AH69" s="15">
        <f>AG69*BS43</f>
        <v>119.13582577132487</v>
      </c>
      <c r="AI69" s="21">
        <f t="shared" si="38"/>
        <v>0.93412658297017825</v>
      </c>
      <c r="AJ69" s="18">
        <f t="shared" si="44"/>
        <v>6.5873417029821718E-2</v>
      </c>
      <c r="AX69">
        <v>40</v>
      </c>
      <c r="AY69">
        <f>15</f>
        <v>15</v>
      </c>
      <c r="AZ69">
        <v>6.8</v>
      </c>
      <c r="BA69">
        <f t="shared" si="39"/>
        <v>6.7999999999999996E-3</v>
      </c>
      <c r="BB69">
        <f t="shared" si="40"/>
        <v>4.1666666666666666E-3</v>
      </c>
      <c r="BC69">
        <f t="shared" si="41"/>
        <v>1.6319999999999999</v>
      </c>
      <c r="BD69">
        <f t="shared" si="42"/>
        <v>118.47549909255896</v>
      </c>
      <c r="BE69" s="18">
        <f t="shared" si="43"/>
        <v>0.97142857142857131</v>
      </c>
    </row>
    <row r="70" spans="7:58" x14ac:dyDescent="0.25">
      <c r="G70">
        <v>60</v>
      </c>
      <c r="H70">
        <f>15</f>
        <v>15</v>
      </c>
      <c r="I70">
        <v>6.9</v>
      </c>
      <c r="J70">
        <f t="shared" si="30"/>
        <v>6.9000000000000008E-3</v>
      </c>
      <c r="K70">
        <f t="shared" si="31"/>
        <v>4.1666666666666666E-3</v>
      </c>
      <c r="L70">
        <f t="shared" si="32"/>
        <v>1.6560000000000001</v>
      </c>
      <c r="M70">
        <f t="shared" si="33"/>
        <v>120.21778584392015</v>
      </c>
      <c r="S70">
        <v>150</v>
      </c>
      <c r="T70">
        <v>324.7</v>
      </c>
      <c r="U70">
        <v>0.20780000000000001</v>
      </c>
      <c r="V70" s="15">
        <v>25.6</v>
      </c>
      <c r="W70">
        <v>345.2</v>
      </c>
      <c r="X70">
        <v>0.19889999999999999</v>
      </c>
      <c r="Y70">
        <v>3.5</v>
      </c>
      <c r="Z70">
        <v>2.3999999999999998E-3</v>
      </c>
      <c r="AA70">
        <v>22.4</v>
      </c>
      <c r="AB70">
        <v>6.9</v>
      </c>
      <c r="AC70">
        <f>15</f>
        <v>15</v>
      </c>
      <c r="AD70">
        <f t="shared" si="34"/>
        <v>4.1666666666666666E-3</v>
      </c>
      <c r="AE70">
        <f t="shared" si="35"/>
        <v>6.9000000000000008E-3</v>
      </c>
      <c r="AF70">
        <f t="shared" si="36"/>
        <v>1.6560000000000001</v>
      </c>
      <c r="AG70">
        <f t="shared" si="37"/>
        <v>120.21778584392015</v>
      </c>
      <c r="AH70" s="15">
        <f>AG70*BS46</f>
        <v>118.0538656987296</v>
      </c>
      <c r="AI70" s="21">
        <f t="shared" si="38"/>
        <v>0.92564309230748243</v>
      </c>
      <c r="AJ70" s="18">
        <f t="shared" si="44"/>
        <v>7.4356907692517571E-2</v>
      </c>
      <c r="AX70">
        <v>50</v>
      </c>
      <c r="AY70">
        <f>15</f>
        <v>15</v>
      </c>
      <c r="AZ70">
        <v>6.7</v>
      </c>
      <c r="BA70">
        <f t="shared" si="39"/>
        <v>6.7000000000000002E-3</v>
      </c>
      <c r="BB70">
        <f t="shared" si="40"/>
        <v>4.1666666666666666E-3</v>
      </c>
      <c r="BC70">
        <f t="shared" si="41"/>
        <v>1.6080000000000001</v>
      </c>
      <c r="BD70">
        <f t="shared" si="42"/>
        <v>116.73321234119781</v>
      </c>
      <c r="BE70" s="18">
        <f t="shared" si="43"/>
        <v>0.97101449275362306</v>
      </c>
    </row>
    <row r="71" spans="7:58" x14ac:dyDescent="0.25">
      <c r="G71">
        <v>70</v>
      </c>
      <c r="H71">
        <f>15</f>
        <v>15</v>
      </c>
      <c r="I71">
        <v>6.9</v>
      </c>
      <c r="J71">
        <f t="shared" si="30"/>
        <v>6.9000000000000008E-3</v>
      </c>
      <c r="K71">
        <f t="shared" si="31"/>
        <v>4.1666666666666666E-3</v>
      </c>
      <c r="L71">
        <f t="shared" si="32"/>
        <v>1.6560000000000001</v>
      </c>
      <c r="M71">
        <f t="shared" si="33"/>
        <v>120.21778584392015</v>
      </c>
      <c r="S71">
        <v>180</v>
      </c>
      <c r="T71">
        <v>337.9</v>
      </c>
      <c r="U71">
        <v>0.2276</v>
      </c>
      <c r="V71" s="15">
        <v>25.8</v>
      </c>
      <c r="W71">
        <v>364.1</v>
      </c>
      <c r="X71">
        <v>0.22539999999999999</v>
      </c>
      <c r="Y71">
        <v>3.5</v>
      </c>
      <c r="Z71">
        <v>2.5000000000000001E-3</v>
      </c>
      <c r="AA71">
        <v>22.2</v>
      </c>
      <c r="AB71">
        <v>6.9</v>
      </c>
      <c r="AC71">
        <f>15</f>
        <v>15</v>
      </c>
      <c r="AD71">
        <f t="shared" si="34"/>
        <v>4.1666666666666666E-3</v>
      </c>
      <c r="AE71">
        <f t="shared" si="35"/>
        <v>6.9000000000000008E-3</v>
      </c>
      <c r="AF71">
        <f t="shared" si="36"/>
        <v>1.6560000000000001</v>
      </c>
      <c r="AG71">
        <f t="shared" si="37"/>
        <v>120.21778584392015</v>
      </c>
      <c r="AH71" s="15">
        <f>AG71*BS48</f>
        <v>117.45277676951</v>
      </c>
      <c r="AI71" s="21">
        <f t="shared" si="38"/>
        <v>0.92093004193931804</v>
      </c>
      <c r="AJ71" s="18">
        <f t="shared" si="44"/>
        <v>7.9069958060681941E-2</v>
      </c>
      <c r="AX71">
        <v>60</v>
      </c>
      <c r="AY71">
        <f>15</f>
        <v>15</v>
      </c>
      <c r="AZ71">
        <v>6.5</v>
      </c>
      <c r="BA71">
        <f t="shared" si="39"/>
        <v>6.5000000000000006E-3</v>
      </c>
      <c r="BB71">
        <f t="shared" si="40"/>
        <v>4.1666666666666666E-3</v>
      </c>
      <c r="BC71">
        <f t="shared" si="41"/>
        <v>1.56</v>
      </c>
      <c r="BD71">
        <f t="shared" si="42"/>
        <v>113.2486388384755</v>
      </c>
      <c r="BE71" s="18">
        <f t="shared" si="43"/>
        <v>0.94202898550724634</v>
      </c>
    </row>
    <row r="72" spans="7:58" x14ac:dyDescent="0.25">
      <c r="G72">
        <v>80</v>
      </c>
      <c r="H72">
        <f>15</f>
        <v>15</v>
      </c>
      <c r="I72">
        <v>6.9</v>
      </c>
      <c r="J72">
        <f t="shared" si="30"/>
        <v>6.9000000000000008E-3</v>
      </c>
      <c r="K72">
        <f t="shared" si="31"/>
        <v>4.1666666666666666E-3</v>
      </c>
      <c r="L72">
        <f t="shared" si="32"/>
        <v>1.6560000000000001</v>
      </c>
      <c r="M72">
        <f t="shared" si="33"/>
        <v>120.21778584392015</v>
      </c>
      <c r="S72">
        <v>210</v>
      </c>
      <c r="T72">
        <v>348.8</v>
      </c>
      <c r="U72">
        <v>0.22670000000000001</v>
      </c>
      <c r="V72" s="15">
        <v>26.2</v>
      </c>
      <c r="W72">
        <v>388.2</v>
      </c>
      <c r="X72">
        <v>0.2379</v>
      </c>
      <c r="Y72">
        <v>3.6</v>
      </c>
      <c r="Z72">
        <v>2.8E-3</v>
      </c>
      <c r="AA72">
        <v>22</v>
      </c>
      <c r="AB72">
        <v>6.7</v>
      </c>
      <c r="AC72">
        <f>15</f>
        <v>15</v>
      </c>
      <c r="AD72">
        <f t="shared" si="34"/>
        <v>4.1666666666666666E-3</v>
      </c>
      <c r="AE72">
        <f t="shared" si="35"/>
        <v>6.7000000000000002E-3</v>
      </c>
      <c r="AF72">
        <f t="shared" si="36"/>
        <v>1.6080000000000001</v>
      </c>
      <c r="AG72">
        <f t="shared" si="37"/>
        <v>116.73321234119781</v>
      </c>
      <c r="AH72" s="15">
        <f>AG72*BU12</f>
        <v>112.64754990925589</v>
      </c>
      <c r="AI72" s="21">
        <f t="shared" si="38"/>
        <v>0.88325296102512274</v>
      </c>
      <c r="AJ72" s="18">
        <f t="shared" si="44"/>
        <v>0.1167470389748773</v>
      </c>
      <c r="AX72">
        <v>70</v>
      </c>
      <c r="AY72">
        <f>15</f>
        <v>15</v>
      </c>
      <c r="AZ72">
        <v>6.5</v>
      </c>
      <c r="BA72">
        <f t="shared" si="39"/>
        <v>6.5000000000000006E-3</v>
      </c>
      <c r="BB72">
        <f t="shared" si="40"/>
        <v>4.1666666666666666E-3</v>
      </c>
      <c r="BC72">
        <f t="shared" si="41"/>
        <v>1.56</v>
      </c>
      <c r="BD72">
        <f t="shared" si="42"/>
        <v>113.2486388384755</v>
      </c>
      <c r="BE72" s="18">
        <f t="shared" si="43"/>
        <v>0.94202898550724634</v>
      </c>
    </row>
    <row r="73" spans="7:58" x14ac:dyDescent="0.25">
      <c r="G73">
        <v>90</v>
      </c>
      <c r="H73">
        <v>15</v>
      </c>
      <c r="I73">
        <v>6.9</v>
      </c>
      <c r="J73">
        <f t="shared" si="30"/>
        <v>6.9000000000000008E-3</v>
      </c>
      <c r="K73">
        <f t="shared" si="31"/>
        <v>4.1666666666666666E-3</v>
      </c>
      <c r="L73">
        <f t="shared" si="32"/>
        <v>1.6560000000000001</v>
      </c>
      <c r="M73">
        <f t="shared" si="33"/>
        <v>120.21778584392015</v>
      </c>
      <c r="S73">
        <v>240</v>
      </c>
      <c r="T73">
        <v>398.9</v>
      </c>
      <c r="U73">
        <v>0.22989999999999999</v>
      </c>
      <c r="V73" s="15">
        <v>26.6</v>
      </c>
      <c r="W73">
        <v>421.6</v>
      </c>
      <c r="X73">
        <v>0.26679999999999998</v>
      </c>
      <c r="Y73">
        <v>3.6</v>
      </c>
      <c r="Z73">
        <v>2.8E-3</v>
      </c>
      <c r="AA73">
        <v>21.9</v>
      </c>
      <c r="AB73">
        <v>6.7</v>
      </c>
      <c r="AC73">
        <f>15</f>
        <v>15</v>
      </c>
      <c r="AD73">
        <f t="shared" si="34"/>
        <v>4.1666666666666666E-3</v>
      </c>
      <c r="AE73">
        <f t="shared" si="35"/>
        <v>6.7000000000000002E-3</v>
      </c>
      <c r="AF73">
        <f t="shared" si="36"/>
        <v>1.6080000000000001</v>
      </c>
      <c r="AG73">
        <f t="shared" si="37"/>
        <v>116.73321234119781</v>
      </c>
      <c r="AH73" s="15">
        <f>AG73*BU16</f>
        <v>111.3634845735027</v>
      </c>
      <c r="AI73" s="21">
        <f t="shared" si="38"/>
        <v>0.87318479255747872</v>
      </c>
      <c r="AJ73" s="18">
        <f t="shared" si="44"/>
        <v>0.12681520744252125</v>
      </c>
      <c r="AX73">
        <v>80</v>
      </c>
      <c r="AY73">
        <f>15</f>
        <v>15</v>
      </c>
      <c r="AZ73">
        <v>6.2</v>
      </c>
      <c r="BA73">
        <f t="shared" si="39"/>
        <v>6.2000000000000006E-3</v>
      </c>
      <c r="BB73">
        <f t="shared" si="40"/>
        <v>4.1666666666666666E-3</v>
      </c>
      <c r="BC73">
        <f t="shared" si="41"/>
        <v>1.4880000000000002</v>
      </c>
      <c r="BD73">
        <f t="shared" si="42"/>
        <v>108.02177858439202</v>
      </c>
      <c r="BE73" s="18">
        <f t="shared" si="43"/>
        <v>0.89855072463768115</v>
      </c>
    </row>
    <row r="74" spans="7:58" x14ac:dyDescent="0.25">
      <c r="G74">
        <v>100</v>
      </c>
      <c r="H74">
        <v>15</v>
      </c>
      <c r="I74">
        <v>6.9</v>
      </c>
      <c r="J74">
        <f t="shared" si="30"/>
        <v>6.9000000000000008E-3</v>
      </c>
      <c r="K74">
        <f t="shared" si="31"/>
        <v>4.1666666666666666E-3</v>
      </c>
      <c r="L74">
        <f t="shared" si="32"/>
        <v>1.6560000000000001</v>
      </c>
      <c r="M74">
        <f t="shared" si="33"/>
        <v>120.21778584392015</v>
      </c>
      <c r="AG74" s="1">
        <f>AVERAGE(AG65:AG73)</f>
        <v>120.79854809437387</v>
      </c>
      <c r="AH74" s="16">
        <f>AVERAGE(AH65:AH73)</f>
        <v>120.06911070780399</v>
      </c>
      <c r="AJ74" s="19"/>
      <c r="AX74">
        <v>90</v>
      </c>
      <c r="AY74">
        <f>15</f>
        <v>15</v>
      </c>
      <c r="AZ74">
        <v>6.4</v>
      </c>
      <c r="BA74">
        <f t="shared" si="39"/>
        <v>6.4000000000000003E-3</v>
      </c>
      <c r="BB74">
        <f t="shared" si="40"/>
        <v>4.1666666666666666E-3</v>
      </c>
      <c r="BC74">
        <f t="shared" si="41"/>
        <v>1.536</v>
      </c>
      <c r="BD74">
        <f t="shared" si="42"/>
        <v>111.50635208711434</v>
      </c>
      <c r="BE74" s="18">
        <f t="shared" si="43"/>
        <v>0.92753623188405787</v>
      </c>
    </row>
    <row r="75" spans="7:58" x14ac:dyDescent="0.25">
      <c r="G75">
        <v>110</v>
      </c>
      <c r="H75">
        <v>15</v>
      </c>
      <c r="I75">
        <v>6.7</v>
      </c>
      <c r="J75">
        <f t="shared" si="30"/>
        <v>6.7000000000000002E-3</v>
      </c>
      <c r="K75">
        <f t="shared" si="31"/>
        <v>4.1666666666666666E-3</v>
      </c>
      <c r="L75">
        <f t="shared" si="32"/>
        <v>1.6080000000000001</v>
      </c>
      <c r="M75">
        <f t="shared" si="33"/>
        <v>116.73321234119781</v>
      </c>
      <c r="AX75">
        <v>100</v>
      </c>
      <c r="AY75">
        <f>15</f>
        <v>15</v>
      </c>
      <c r="AZ75">
        <v>6.4</v>
      </c>
      <c r="BA75">
        <f t="shared" si="39"/>
        <v>6.4000000000000003E-3</v>
      </c>
      <c r="BB75">
        <f t="shared" si="40"/>
        <v>4.1666666666666666E-3</v>
      </c>
      <c r="BC75">
        <f t="shared" si="41"/>
        <v>1.536</v>
      </c>
      <c r="BD75">
        <f t="shared" si="42"/>
        <v>111.50635208711434</v>
      </c>
      <c r="BE75" s="18">
        <f t="shared" si="43"/>
        <v>0.95522388059701502</v>
      </c>
    </row>
    <row r="76" spans="7:58" x14ac:dyDescent="0.25">
      <c r="G76">
        <v>120</v>
      </c>
      <c r="H76">
        <v>15</v>
      </c>
      <c r="I76">
        <v>6.7</v>
      </c>
      <c r="J76">
        <f t="shared" si="30"/>
        <v>6.7000000000000002E-3</v>
      </c>
      <c r="K76">
        <f t="shared" si="31"/>
        <v>4.1666666666666666E-3</v>
      </c>
      <c r="L76">
        <f t="shared" si="32"/>
        <v>1.6080000000000001</v>
      </c>
      <c r="M76">
        <f t="shared" si="33"/>
        <v>116.73321234119781</v>
      </c>
      <c r="AX76">
        <v>110</v>
      </c>
      <c r="AY76">
        <f>15</f>
        <v>15</v>
      </c>
      <c r="AZ76">
        <v>6.4</v>
      </c>
      <c r="BA76">
        <f t="shared" si="39"/>
        <v>6.4000000000000003E-3</v>
      </c>
      <c r="BB76">
        <f t="shared" si="40"/>
        <v>4.1666666666666666E-3</v>
      </c>
      <c r="BC76">
        <f t="shared" si="41"/>
        <v>1.536</v>
      </c>
      <c r="BD76">
        <f t="shared" si="42"/>
        <v>111.50635208711434</v>
      </c>
      <c r="BE76" s="18">
        <f t="shared" si="43"/>
        <v>0.95522388059701502</v>
      </c>
    </row>
    <row r="77" spans="7:58" x14ac:dyDescent="0.25">
      <c r="M77" s="1">
        <f>AVERAGE(M64:M76)</f>
        <v>121.55800642189025</v>
      </c>
      <c r="AX77">
        <v>120</v>
      </c>
      <c r="AY77">
        <f>15</f>
        <v>15</v>
      </c>
      <c r="AZ77">
        <v>6.3</v>
      </c>
      <c r="BA77">
        <f t="shared" si="39"/>
        <v>6.3E-3</v>
      </c>
      <c r="BB77">
        <f t="shared" si="40"/>
        <v>4.1666666666666666E-3</v>
      </c>
      <c r="BC77">
        <f t="shared" si="41"/>
        <v>1.512</v>
      </c>
      <c r="BD77">
        <f t="shared" si="42"/>
        <v>109.76406533575317</v>
      </c>
      <c r="BE77" s="18">
        <f t="shared" si="43"/>
        <v>0.90297684674751932</v>
      </c>
    </row>
    <row r="78" spans="7:58" x14ac:dyDescent="0.25">
      <c r="BD78" s="1">
        <f>AVERAGE(BD65:BD77)</f>
        <v>114.5888594164456</v>
      </c>
      <c r="BE78" s="19"/>
    </row>
    <row r="87" spans="7:58" x14ac:dyDescent="0.25">
      <c r="BE87" s="13"/>
    </row>
    <row r="88" spans="7:58" x14ac:dyDescent="0.25">
      <c r="AX88" t="s">
        <v>0</v>
      </c>
      <c r="AY88" t="s">
        <v>1</v>
      </c>
      <c r="AZ88" t="s">
        <v>2</v>
      </c>
      <c r="BA88" s="17" t="s">
        <v>3</v>
      </c>
      <c r="BB88" s="13" t="s">
        <v>15</v>
      </c>
      <c r="BC88" s="13" t="s">
        <v>16</v>
      </c>
      <c r="BD88" s="13" t="s">
        <v>17</v>
      </c>
      <c r="BE88" s="13" t="s">
        <v>24</v>
      </c>
      <c r="BF88" s="22" t="s">
        <v>24</v>
      </c>
    </row>
    <row r="89" spans="7:58" x14ac:dyDescent="0.25">
      <c r="G89" s="1" t="s">
        <v>0</v>
      </c>
      <c r="H89" s="1" t="s">
        <v>1</v>
      </c>
      <c r="I89" s="1" t="s">
        <v>2</v>
      </c>
      <c r="J89" s="13" t="s">
        <v>3</v>
      </c>
      <c r="K89" s="13" t="s">
        <v>15</v>
      </c>
      <c r="L89" s="13" t="s">
        <v>16</v>
      </c>
      <c r="M89" s="13" t="s">
        <v>17</v>
      </c>
      <c r="T89" s="1" t="s">
        <v>4</v>
      </c>
      <c r="U89" s="1"/>
      <c r="V89" s="1"/>
      <c r="W89" s="1" t="s">
        <v>5</v>
      </c>
      <c r="X89" s="1"/>
      <c r="Y89" s="1" t="s">
        <v>6</v>
      </c>
      <c r="Z89" s="1"/>
      <c r="AX89">
        <v>0</v>
      </c>
      <c r="AY89">
        <f>15</f>
        <v>15</v>
      </c>
      <c r="AZ89">
        <v>6.7</v>
      </c>
      <c r="BA89">
        <f>AZ89*10^-3</f>
        <v>6.7000000000000002E-3</v>
      </c>
      <c r="BB89">
        <f>AY89/3600</f>
        <v>4.1666666666666666E-3</v>
      </c>
      <c r="BC89">
        <f>BA89/BB89</f>
        <v>1.6080000000000001</v>
      </c>
      <c r="BD89">
        <f>BA89/(BB89*$O$8)</f>
        <v>116.73321234119781</v>
      </c>
      <c r="BE89" s="18">
        <f>(BD90/M91)</f>
        <v>0.95714285714285707</v>
      </c>
      <c r="BF89" s="18">
        <f>BD102/M103</f>
        <v>0.9687848383500558</v>
      </c>
    </row>
    <row r="90" spans="7:58" x14ac:dyDescent="0.25">
      <c r="G90">
        <v>0</v>
      </c>
      <c r="H90">
        <f>15</f>
        <v>15</v>
      </c>
      <c r="I90">
        <v>7</v>
      </c>
      <c r="J90">
        <f>I90*10^-3</f>
        <v>7.0000000000000001E-3</v>
      </c>
      <c r="K90">
        <f>H90/3600</f>
        <v>4.1666666666666666E-3</v>
      </c>
      <c r="L90">
        <f>J90/K90</f>
        <v>1.6800000000000002</v>
      </c>
      <c r="M90">
        <f>J90/(K90*$O$8)</f>
        <v>121.9600725952813</v>
      </c>
      <c r="S90" t="s">
        <v>0</v>
      </c>
      <c r="T90" t="s">
        <v>7</v>
      </c>
      <c r="U90" t="s">
        <v>8</v>
      </c>
      <c r="V90" s="15" t="s">
        <v>9</v>
      </c>
      <c r="W90" t="s">
        <v>7</v>
      </c>
      <c r="X90" t="s">
        <v>8</v>
      </c>
      <c r="Y90" t="s">
        <v>7</v>
      </c>
      <c r="Z90" t="s">
        <v>8</v>
      </c>
      <c r="AA90" t="s">
        <v>9</v>
      </c>
      <c r="AB90" t="s">
        <v>10</v>
      </c>
      <c r="AC90" t="s">
        <v>1</v>
      </c>
      <c r="AD90" s="13" t="s">
        <v>15</v>
      </c>
      <c r="AE90" s="13" t="s">
        <v>19</v>
      </c>
      <c r="AF90" s="13" t="s">
        <v>20</v>
      </c>
      <c r="AG90" s="13" t="s">
        <v>21</v>
      </c>
      <c r="AH90" s="14" t="s">
        <v>22</v>
      </c>
      <c r="AI90" s="20" t="s">
        <v>33</v>
      </c>
      <c r="AJ90" s="13" t="s">
        <v>23</v>
      </c>
      <c r="AK90" s="22" t="s">
        <v>23</v>
      </c>
      <c r="AX90">
        <v>10</v>
      </c>
      <c r="AY90">
        <f>15</f>
        <v>15</v>
      </c>
      <c r="AZ90">
        <v>6.7</v>
      </c>
      <c r="BA90">
        <f t="shared" ref="BA90:BA101" si="45">AZ90*10^-3</f>
        <v>6.7000000000000002E-3</v>
      </c>
      <c r="BB90">
        <f t="shared" ref="BB90:BB101" si="46">AY90/3600</f>
        <v>4.1666666666666666E-3</v>
      </c>
      <c r="BC90">
        <f t="shared" ref="BC90:BC101" si="47">BA90/BB90</f>
        <v>1.6080000000000001</v>
      </c>
      <c r="BD90">
        <f t="shared" ref="BD90:BD101" si="48">BA90/(BB90*$O$8)</f>
        <v>116.73321234119781</v>
      </c>
      <c r="BE90" s="18">
        <f t="shared" ref="BE90:BE101" si="49">(BD91/M92)</f>
        <v>0.95714285714285707</v>
      </c>
    </row>
    <row r="91" spans="7:58" x14ac:dyDescent="0.25">
      <c r="G91">
        <v>10</v>
      </c>
      <c r="H91">
        <f>15</f>
        <v>15</v>
      </c>
      <c r="I91">
        <v>7</v>
      </c>
      <c r="J91">
        <f t="shared" ref="J91:J102" si="50">I91*10^-3</f>
        <v>7.0000000000000001E-3</v>
      </c>
      <c r="K91">
        <f t="shared" ref="K91:K102" si="51">H91/3600</f>
        <v>4.1666666666666666E-3</v>
      </c>
      <c r="L91">
        <f t="shared" ref="L91:L102" si="52">J91/K91</f>
        <v>1.6800000000000002</v>
      </c>
      <c r="M91">
        <f t="shared" ref="M91:M102" si="53">J91/(K91*$O$8)</f>
        <v>121.9600725952813</v>
      </c>
      <c r="S91">
        <v>0</v>
      </c>
      <c r="T91">
        <v>261.2</v>
      </c>
      <c r="U91">
        <v>0.16250000000000001</v>
      </c>
      <c r="V91" s="15">
        <v>24.5</v>
      </c>
      <c r="W91">
        <v>250.9</v>
      </c>
      <c r="X91">
        <v>0.15540000000000001</v>
      </c>
      <c r="Y91">
        <v>3.2</v>
      </c>
      <c r="Z91">
        <v>2.2000000000000001E-3</v>
      </c>
      <c r="AA91">
        <v>24.1</v>
      </c>
      <c r="AB91">
        <v>6.9</v>
      </c>
      <c r="AC91">
        <f>15</f>
        <v>15</v>
      </c>
      <c r="AD91">
        <f>AC91/3600</f>
        <v>4.1666666666666666E-3</v>
      </c>
      <c r="AE91">
        <f>AB91*10^-3</f>
        <v>6.9000000000000008E-3</v>
      </c>
      <c r="AF91">
        <f>AE91/AD91</f>
        <v>1.6560000000000001</v>
      </c>
      <c r="AG91">
        <f>AE91/(AD91*$O$8)</f>
        <v>120.21778584392015</v>
      </c>
      <c r="AH91" s="15">
        <f>AG91*BS35</f>
        <v>122.26148820326678</v>
      </c>
      <c r="AI91" s="21">
        <f>AH91/$AH$91</f>
        <v>1</v>
      </c>
      <c r="AJ91" s="18">
        <f>($AH$91-AH91)/$AH$91</f>
        <v>0</v>
      </c>
      <c r="AK91" s="18">
        <f>AJ99</f>
        <v>8.9136847505450909E-2</v>
      </c>
      <c r="AX91">
        <v>20</v>
      </c>
      <c r="AY91">
        <f>15</f>
        <v>15</v>
      </c>
      <c r="AZ91">
        <v>6.7</v>
      </c>
      <c r="BA91">
        <f t="shared" si="45"/>
        <v>6.7000000000000002E-3</v>
      </c>
      <c r="BB91">
        <f t="shared" si="46"/>
        <v>4.1666666666666666E-3</v>
      </c>
      <c r="BC91">
        <f t="shared" si="47"/>
        <v>1.6080000000000001</v>
      </c>
      <c r="BD91">
        <f t="shared" si="48"/>
        <v>116.73321234119781</v>
      </c>
      <c r="BE91" s="18">
        <f t="shared" si="49"/>
        <v>0.98529411764705888</v>
      </c>
    </row>
    <row r="92" spans="7:58" x14ac:dyDescent="0.25">
      <c r="G92">
        <v>20</v>
      </c>
      <c r="H92">
        <f>15</f>
        <v>15</v>
      </c>
      <c r="I92">
        <v>7</v>
      </c>
      <c r="J92">
        <f t="shared" si="50"/>
        <v>7.0000000000000001E-3</v>
      </c>
      <c r="K92">
        <f t="shared" si="51"/>
        <v>4.1666666666666666E-3</v>
      </c>
      <c r="L92">
        <f t="shared" si="52"/>
        <v>1.6800000000000002</v>
      </c>
      <c r="M92">
        <f t="shared" si="53"/>
        <v>121.9600725952813</v>
      </c>
      <c r="S92">
        <v>30</v>
      </c>
      <c r="T92">
        <v>273.2</v>
      </c>
      <c r="U92">
        <v>0.16969999999999999</v>
      </c>
      <c r="V92" s="15">
        <v>24.9</v>
      </c>
      <c r="W92">
        <v>269.8</v>
      </c>
      <c r="X92">
        <v>0.16800000000000001</v>
      </c>
      <c r="Y92">
        <v>3.3</v>
      </c>
      <c r="Z92">
        <v>2.3E-3</v>
      </c>
      <c r="AA92">
        <v>24</v>
      </c>
      <c r="AB92">
        <v>6.9</v>
      </c>
      <c r="AC92">
        <f>15</f>
        <v>15</v>
      </c>
      <c r="AD92">
        <f t="shared" ref="AD92:AD99" si="54">AC92/3600</f>
        <v>4.1666666666666666E-3</v>
      </c>
      <c r="AE92">
        <f t="shared" ref="AE92:AE99" si="55">AB92*10^-3</f>
        <v>6.9000000000000008E-3</v>
      </c>
      <c r="AF92">
        <f t="shared" ref="AF92:AF99" si="56">AE92/AD92</f>
        <v>1.6560000000000001</v>
      </c>
      <c r="AG92">
        <f t="shared" ref="AG92:AG99" si="57">AE92/(AD92*$O$8)</f>
        <v>120.21778584392015</v>
      </c>
      <c r="AH92" s="15">
        <f>AG92*BS39</f>
        <v>120.5784392014519</v>
      </c>
      <c r="AI92" s="21">
        <f t="shared" ref="AI92:AI99" si="58">AH92/$AH$91</f>
        <v>0.98623402163225171</v>
      </c>
      <c r="AJ92" s="18">
        <f t="shared" ref="AJ92:AJ99" si="59">($AH$91-AH92)/$AH$91</f>
        <v>1.3765978367748259E-2</v>
      </c>
      <c r="AX92">
        <v>30</v>
      </c>
      <c r="AY92">
        <f>15</f>
        <v>15</v>
      </c>
      <c r="AZ92">
        <v>6.7</v>
      </c>
      <c r="BA92">
        <f t="shared" si="45"/>
        <v>6.7000000000000002E-3</v>
      </c>
      <c r="BB92">
        <f t="shared" si="46"/>
        <v>4.1666666666666666E-3</v>
      </c>
      <c r="BC92">
        <f t="shared" si="47"/>
        <v>1.6080000000000001</v>
      </c>
      <c r="BD92">
        <f t="shared" si="48"/>
        <v>116.73321234119781</v>
      </c>
      <c r="BE92" s="18">
        <f t="shared" si="49"/>
        <v>0.97142857142857131</v>
      </c>
    </row>
    <row r="93" spans="7:58" x14ac:dyDescent="0.25">
      <c r="G93">
        <v>30</v>
      </c>
      <c r="H93">
        <f>15</f>
        <v>15</v>
      </c>
      <c r="I93">
        <v>6.8</v>
      </c>
      <c r="J93">
        <f t="shared" si="50"/>
        <v>6.7999999999999996E-3</v>
      </c>
      <c r="K93">
        <f t="shared" si="51"/>
        <v>4.1666666666666666E-3</v>
      </c>
      <c r="L93">
        <f t="shared" si="52"/>
        <v>1.6319999999999999</v>
      </c>
      <c r="M93">
        <f t="shared" si="53"/>
        <v>118.47549909255896</v>
      </c>
      <c r="S93">
        <v>60</v>
      </c>
      <c r="T93">
        <v>279.10000000000002</v>
      </c>
      <c r="U93">
        <v>0.17580000000000001</v>
      </c>
      <c r="V93" s="15">
        <v>25</v>
      </c>
      <c r="W93">
        <v>282.7</v>
      </c>
      <c r="X93">
        <v>0.1759</v>
      </c>
      <c r="Y93">
        <v>3.3</v>
      </c>
      <c r="Z93">
        <v>2.3E-3</v>
      </c>
      <c r="AA93">
        <v>23.9</v>
      </c>
      <c r="AB93">
        <v>6.8</v>
      </c>
      <c r="AC93">
        <f>15</f>
        <v>15</v>
      </c>
      <c r="AD93">
        <f t="shared" si="54"/>
        <v>4.1666666666666666E-3</v>
      </c>
      <c r="AE93">
        <f t="shared" si="55"/>
        <v>6.7999999999999996E-3</v>
      </c>
      <c r="AF93">
        <f t="shared" si="56"/>
        <v>1.6319999999999999</v>
      </c>
      <c r="AG93">
        <f t="shared" si="57"/>
        <v>118.47549909255896</v>
      </c>
      <c r="AH93" s="15">
        <f>AG93*BS40</f>
        <v>118.47549909255896</v>
      </c>
      <c r="AI93" s="21">
        <f t="shared" si="58"/>
        <v>0.96903367392016859</v>
      </c>
      <c r="AJ93" s="18">
        <f t="shared" si="59"/>
        <v>3.0966326079831383E-2</v>
      </c>
      <c r="AX93">
        <v>40</v>
      </c>
      <c r="AY93">
        <f>15</f>
        <v>15</v>
      </c>
      <c r="AZ93">
        <v>6.8</v>
      </c>
      <c r="BA93">
        <f t="shared" si="45"/>
        <v>6.7999999999999996E-3</v>
      </c>
      <c r="BB93">
        <f t="shared" si="46"/>
        <v>4.1666666666666666E-3</v>
      </c>
      <c r="BC93">
        <f t="shared" si="47"/>
        <v>1.6319999999999999</v>
      </c>
      <c r="BD93">
        <f t="shared" si="48"/>
        <v>118.47549909255896</v>
      </c>
      <c r="BE93" s="18">
        <f t="shared" si="49"/>
        <v>0.97142857142857131</v>
      </c>
    </row>
    <row r="94" spans="7:58" x14ac:dyDescent="0.25">
      <c r="G94">
        <v>40</v>
      </c>
      <c r="H94">
        <f>15</f>
        <v>15</v>
      </c>
      <c r="I94">
        <v>7</v>
      </c>
      <c r="J94">
        <f t="shared" si="50"/>
        <v>7.0000000000000001E-3</v>
      </c>
      <c r="K94">
        <f t="shared" si="51"/>
        <v>4.1666666666666666E-3</v>
      </c>
      <c r="L94">
        <f t="shared" si="52"/>
        <v>1.6800000000000002</v>
      </c>
      <c r="M94">
        <f t="shared" si="53"/>
        <v>121.9600725952813</v>
      </c>
      <c r="S94">
        <v>90</v>
      </c>
      <c r="T94">
        <v>285.3</v>
      </c>
      <c r="U94">
        <v>0.18229999999999999</v>
      </c>
      <c r="V94" s="15">
        <v>25.3</v>
      </c>
      <c r="W94">
        <v>297.5</v>
      </c>
      <c r="X94">
        <v>0.1807</v>
      </c>
      <c r="Y94">
        <v>3.4</v>
      </c>
      <c r="Z94">
        <v>2.3999999999999998E-3</v>
      </c>
      <c r="AA94">
        <v>23.7</v>
      </c>
      <c r="AB94">
        <v>6.8</v>
      </c>
      <c r="AC94">
        <f>15</f>
        <v>15</v>
      </c>
      <c r="AD94">
        <f t="shared" si="54"/>
        <v>4.1666666666666666E-3</v>
      </c>
      <c r="AE94">
        <f t="shared" si="55"/>
        <v>6.7999999999999996E-3</v>
      </c>
      <c r="AF94">
        <f t="shared" si="56"/>
        <v>1.6319999999999999</v>
      </c>
      <c r="AG94">
        <f t="shared" si="57"/>
        <v>118.47549909255896</v>
      </c>
      <c r="AH94" s="15">
        <f>AG94*BS43</f>
        <v>117.40921960072593</v>
      </c>
      <c r="AI94" s="21">
        <f t="shared" si="58"/>
        <v>0.96031237085488708</v>
      </c>
      <c r="AJ94" s="18">
        <f t="shared" si="59"/>
        <v>3.9687629145112889E-2</v>
      </c>
      <c r="AX94">
        <v>50</v>
      </c>
      <c r="AY94">
        <f>15</f>
        <v>15</v>
      </c>
      <c r="AZ94">
        <v>6.8</v>
      </c>
      <c r="BA94">
        <f t="shared" si="45"/>
        <v>6.7999999999999996E-3</v>
      </c>
      <c r="BB94">
        <f t="shared" si="46"/>
        <v>4.1666666666666666E-3</v>
      </c>
      <c r="BC94">
        <f t="shared" si="47"/>
        <v>1.6319999999999999</v>
      </c>
      <c r="BD94">
        <f t="shared" si="48"/>
        <v>118.47549909255896</v>
      </c>
      <c r="BE94" s="18">
        <f t="shared" si="49"/>
        <v>0.98550724637681131</v>
      </c>
    </row>
    <row r="95" spans="7:58" x14ac:dyDescent="0.25">
      <c r="G95">
        <v>50</v>
      </c>
      <c r="H95">
        <f>15</f>
        <v>15</v>
      </c>
      <c r="I95">
        <v>7</v>
      </c>
      <c r="J95">
        <f t="shared" si="50"/>
        <v>7.0000000000000001E-3</v>
      </c>
      <c r="K95">
        <f t="shared" si="51"/>
        <v>4.1666666666666666E-3</v>
      </c>
      <c r="L95">
        <f t="shared" si="52"/>
        <v>1.6800000000000002</v>
      </c>
      <c r="M95">
        <f t="shared" si="53"/>
        <v>121.9600725952813</v>
      </c>
      <c r="S95">
        <v>120</v>
      </c>
      <c r="T95">
        <v>296.8</v>
      </c>
      <c r="U95">
        <v>0.18559999999999999</v>
      </c>
      <c r="V95" s="15">
        <v>25.6</v>
      </c>
      <c r="W95">
        <v>304.89999999999998</v>
      </c>
      <c r="X95">
        <v>0.18679999999999999</v>
      </c>
      <c r="Y95">
        <v>3.4</v>
      </c>
      <c r="Z95">
        <v>2.3999999999999998E-3</v>
      </c>
      <c r="AA95">
        <v>23.5</v>
      </c>
      <c r="AB95">
        <v>6.7</v>
      </c>
      <c r="AC95">
        <f>15</f>
        <v>15</v>
      </c>
      <c r="AD95">
        <f t="shared" si="54"/>
        <v>4.1666666666666666E-3</v>
      </c>
      <c r="AE95">
        <f t="shared" si="55"/>
        <v>6.7000000000000002E-3</v>
      </c>
      <c r="AF95">
        <f t="shared" si="56"/>
        <v>1.6080000000000001</v>
      </c>
      <c r="AG95">
        <f t="shared" si="57"/>
        <v>116.73321234119781</v>
      </c>
      <c r="AH95" s="15">
        <f>AG95*BS46</f>
        <v>114.63201451905626</v>
      </c>
      <c r="AI95" s="21">
        <f t="shared" si="58"/>
        <v>0.93759708149858212</v>
      </c>
      <c r="AJ95" s="18">
        <f t="shared" si="59"/>
        <v>6.2402918501417909E-2</v>
      </c>
      <c r="AX95">
        <v>60</v>
      </c>
      <c r="AY95">
        <f>15</f>
        <v>15</v>
      </c>
      <c r="AZ95">
        <v>6.8</v>
      </c>
      <c r="BA95">
        <f t="shared" si="45"/>
        <v>6.7999999999999996E-3</v>
      </c>
      <c r="BB95">
        <f t="shared" si="46"/>
        <v>4.1666666666666666E-3</v>
      </c>
      <c r="BC95">
        <f t="shared" si="47"/>
        <v>1.6319999999999999</v>
      </c>
      <c r="BD95">
        <f t="shared" si="48"/>
        <v>118.47549909255896</v>
      </c>
      <c r="BE95" s="18">
        <f t="shared" si="49"/>
        <v>0.95652173913043459</v>
      </c>
    </row>
    <row r="96" spans="7:58" x14ac:dyDescent="0.25">
      <c r="G96">
        <v>60</v>
      </c>
      <c r="H96">
        <f>15</f>
        <v>15</v>
      </c>
      <c r="I96">
        <v>6.9</v>
      </c>
      <c r="J96">
        <f t="shared" si="50"/>
        <v>6.9000000000000008E-3</v>
      </c>
      <c r="K96">
        <f t="shared" si="51"/>
        <v>4.1666666666666666E-3</v>
      </c>
      <c r="L96">
        <f t="shared" si="52"/>
        <v>1.6560000000000001</v>
      </c>
      <c r="M96">
        <f t="shared" si="53"/>
        <v>120.21778584392015</v>
      </c>
      <c r="S96">
        <v>150</v>
      </c>
      <c r="T96">
        <v>331.3</v>
      </c>
      <c r="U96">
        <v>0.215</v>
      </c>
      <c r="V96" s="15">
        <v>25.8</v>
      </c>
      <c r="W96">
        <v>339.6</v>
      </c>
      <c r="X96">
        <v>0.1923</v>
      </c>
      <c r="Y96">
        <v>3.5</v>
      </c>
      <c r="Z96">
        <v>2.5999999999999999E-3</v>
      </c>
      <c r="AA96">
        <v>23.1</v>
      </c>
      <c r="AB96">
        <v>6.9</v>
      </c>
      <c r="AC96">
        <f>15</f>
        <v>15</v>
      </c>
      <c r="AD96">
        <f t="shared" si="54"/>
        <v>4.1666666666666666E-3</v>
      </c>
      <c r="AE96">
        <f t="shared" si="55"/>
        <v>6.9000000000000008E-3</v>
      </c>
      <c r="AF96">
        <f t="shared" si="56"/>
        <v>1.6560000000000001</v>
      </c>
      <c r="AG96">
        <f t="shared" si="57"/>
        <v>120.21778584392015</v>
      </c>
      <c r="AH96" s="15">
        <f>AG96*BS48</f>
        <v>117.45277676951</v>
      </c>
      <c r="AI96" s="21">
        <f t="shared" si="58"/>
        <v>0.96066863323500506</v>
      </c>
      <c r="AJ96" s="18">
        <f t="shared" si="59"/>
        <v>3.9331366764994907E-2</v>
      </c>
      <c r="AX96">
        <v>70</v>
      </c>
      <c r="AY96">
        <f>15</f>
        <v>15</v>
      </c>
      <c r="AZ96">
        <v>6.6</v>
      </c>
      <c r="BA96">
        <f t="shared" si="45"/>
        <v>6.6E-3</v>
      </c>
      <c r="BB96">
        <f t="shared" si="46"/>
        <v>4.1666666666666666E-3</v>
      </c>
      <c r="BC96">
        <f t="shared" si="47"/>
        <v>1.5840000000000001</v>
      </c>
      <c r="BD96">
        <f t="shared" si="48"/>
        <v>114.99092558983665</v>
      </c>
      <c r="BE96" s="18">
        <f t="shared" si="49"/>
        <v>0.97058823529411775</v>
      </c>
    </row>
    <row r="97" spans="7:57" x14ac:dyDescent="0.25">
      <c r="G97">
        <v>70</v>
      </c>
      <c r="H97">
        <f>15</f>
        <v>15</v>
      </c>
      <c r="I97">
        <v>6.9</v>
      </c>
      <c r="J97">
        <f t="shared" si="50"/>
        <v>6.9000000000000008E-3</v>
      </c>
      <c r="K97">
        <f t="shared" si="51"/>
        <v>4.1666666666666666E-3</v>
      </c>
      <c r="L97">
        <f t="shared" si="52"/>
        <v>1.6560000000000001</v>
      </c>
      <c r="M97">
        <f t="shared" si="53"/>
        <v>120.21778584392015</v>
      </c>
      <c r="S97">
        <v>180</v>
      </c>
      <c r="T97">
        <v>349.4</v>
      </c>
      <c r="U97">
        <v>0.23069999999999999</v>
      </c>
      <c r="V97" s="15">
        <v>26.1</v>
      </c>
      <c r="W97">
        <v>370.9</v>
      </c>
      <c r="X97">
        <v>0.21859999999999999</v>
      </c>
      <c r="Y97">
        <v>3.5</v>
      </c>
      <c r="Z97">
        <v>2.5999999999999999E-3</v>
      </c>
      <c r="AA97">
        <v>22.9</v>
      </c>
      <c r="AB97">
        <v>6.8</v>
      </c>
      <c r="AC97">
        <f>15</f>
        <v>15</v>
      </c>
      <c r="AD97">
        <f t="shared" si="54"/>
        <v>4.1666666666666666E-3</v>
      </c>
      <c r="AE97">
        <f t="shared" si="55"/>
        <v>6.7999999999999996E-3</v>
      </c>
      <c r="AF97">
        <f t="shared" si="56"/>
        <v>1.6319999999999999</v>
      </c>
      <c r="AG97">
        <f t="shared" si="57"/>
        <v>118.47549909255896</v>
      </c>
      <c r="AH97" s="15">
        <f>AG97*BU11</f>
        <v>114.68428312159708</v>
      </c>
      <c r="AI97" s="21">
        <f t="shared" si="58"/>
        <v>0.93802459635472324</v>
      </c>
      <c r="AJ97" s="18">
        <f t="shared" si="59"/>
        <v>6.1975403645276775E-2</v>
      </c>
      <c r="AX97">
        <v>80</v>
      </c>
      <c r="AY97">
        <f>15</f>
        <v>15</v>
      </c>
      <c r="AZ97">
        <v>6.6</v>
      </c>
      <c r="BA97">
        <f t="shared" si="45"/>
        <v>6.6E-3</v>
      </c>
      <c r="BB97">
        <f t="shared" si="46"/>
        <v>4.1666666666666666E-3</v>
      </c>
      <c r="BC97">
        <f t="shared" si="47"/>
        <v>1.5840000000000001</v>
      </c>
      <c r="BD97">
        <f t="shared" si="48"/>
        <v>114.99092558983665</v>
      </c>
      <c r="BE97" s="18">
        <f t="shared" si="49"/>
        <v>0.98529411764705888</v>
      </c>
    </row>
    <row r="98" spans="7:57" x14ac:dyDescent="0.25">
      <c r="G98">
        <v>80</v>
      </c>
      <c r="H98">
        <f>15</f>
        <v>15</v>
      </c>
      <c r="I98">
        <v>6.8</v>
      </c>
      <c r="J98">
        <f t="shared" si="50"/>
        <v>6.7999999999999996E-3</v>
      </c>
      <c r="K98">
        <f t="shared" si="51"/>
        <v>4.1666666666666666E-3</v>
      </c>
      <c r="L98">
        <f t="shared" si="52"/>
        <v>1.6319999999999999</v>
      </c>
      <c r="M98">
        <f t="shared" si="53"/>
        <v>118.47549909255896</v>
      </c>
      <c r="S98">
        <v>210</v>
      </c>
      <c r="T98">
        <v>367.2</v>
      </c>
      <c r="U98">
        <v>0.23960000000000001</v>
      </c>
      <c r="V98" s="15">
        <v>26.4</v>
      </c>
      <c r="W98">
        <v>399.7</v>
      </c>
      <c r="X98">
        <v>0.24809999999999999</v>
      </c>
      <c r="Y98">
        <v>3.6</v>
      </c>
      <c r="Z98">
        <v>2.7000000000000001E-3</v>
      </c>
      <c r="AA98">
        <v>22.7</v>
      </c>
      <c r="AB98">
        <v>6.7</v>
      </c>
      <c r="AC98">
        <f>15</f>
        <v>15</v>
      </c>
      <c r="AD98">
        <f t="shared" si="54"/>
        <v>4.1666666666666666E-3</v>
      </c>
      <c r="AE98">
        <f t="shared" si="55"/>
        <v>6.7000000000000002E-3</v>
      </c>
      <c r="AF98">
        <f t="shared" si="56"/>
        <v>1.6080000000000001</v>
      </c>
      <c r="AG98">
        <f t="shared" si="57"/>
        <v>116.73321234119781</v>
      </c>
      <c r="AH98" s="15">
        <f>AG98*BU14</f>
        <v>111.9471506352087</v>
      </c>
      <c r="AI98" s="21">
        <f t="shared" si="58"/>
        <v>0.91563706838812642</v>
      </c>
      <c r="AJ98" s="18">
        <f t="shared" si="59"/>
        <v>8.436293161187354E-2</v>
      </c>
      <c r="AX98">
        <v>90</v>
      </c>
      <c r="AY98">
        <f>15</f>
        <v>15</v>
      </c>
      <c r="AZ98">
        <v>6.7</v>
      </c>
      <c r="BA98">
        <f t="shared" si="45"/>
        <v>6.7000000000000002E-3</v>
      </c>
      <c r="BB98">
        <f t="shared" si="46"/>
        <v>4.1666666666666666E-3</v>
      </c>
      <c r="BC98">
        <f t="shared" si="47"/>
        <v>1.6080000000000001</v>
      </c>
      <c r="BD98">
        <f t="shared" si="48"/>
        <v>116.73321234119781</v>
      </c>
      <c r="BE98" s="18">
        <f t="shared" si="49"/>
        <v>0.95652173913043459</v>
      </c>
    </row>
    <row r="99" spans="7:57" x14ac:dyDescent="0.25">
      <c r="G99">
        <v>90</v>
      </c>
      <c r="H99">
        <v>15</v>
      </c>
      <c r="I99">
        <v>6.8</v>
      </c>
      <c r="J99">
        <f t="shared" si="50"/>
        <v>6.7999999999999996E-3</v>
      </c>
      <c r="K99">
        <f t="shared" si="51"/>
        <v>4.1666666666666666E-3</v>
      </c>
      <c r="L99">
        <f t="shared" si="52"/>
        <v>1.6319999999999999</v>
      </c>
      <c r="M99">
        <f t="shared" si="53"/>
        <v>118.47549909255896</v>
      </c>
      <c r="S99">
        <v>240</v>
      </c>
      <c r="T99">
        <v>412.9</v>
      </c>
      <c r="U99">
        <v>0.2417</v>
      </c>
      <c r="V99" s="15">
        <v>26.6</v>
      </c>
      <c r="W99">
        <v>412.3</v>
      </c>
      <c r="X99">
        <v>0.2545</v>
      </c>
      <c r="Y99">
        <v>3.7</v>
      </c>
      <c r="Z99">
        <v>2.8E-3</v>
      </c>
      <c r="AA99">
        <v>22.4</v>
      </c>
      <c r="AB99">
        <v>6.7</v>
      </c>
      <c r="AC99">
        <f>15</f>
        <v>15</v>
      </c>
      <c r="AD99">
        <f t="shared" si="54"/>
        <v>4.1666666666666666E-3</v>
      </c>
      <c r="AE99">
        <f t="shared" si="55"/>
        <v>6.7000000000000002E-3</v>
      </c>
      <c r="AF99">
        <f t="shared" si="56"/>
        <v>1.6080000000000001</v>
      </c>
      <c r="AG99">
        <f t="shared" si="57"/>
        <v>116.73321234119781</v>
      </c>
      <c r="AH99" s="15">
        <f>AG99*BU16</f>
        <v>111.3634845735027</v>
      </c>
      <c r="AI99" s="21">
        <f t="shared" si="58"/>
        <v>0.91086315249454908</v>
      </c>
      <c r="AJ99" s="18">
        <f t="shared" si="59"/>
        <v>8.9136847505450909E-2</v>
      </c>
      <c r="AX99">
        <v>100</v>
      </c>
      <c r="AY99">
        <f>15</f>
        <v>15</v>
      </c>
      <c r="AZ99">
        <v>6.6</v>
      </c>
      <c r="BA99">
        <f t="shared" si="45"/>
        <v>6.6E-3</v>
      </c>
      <c r="BB99">
        <f t="shared" si="46"/>
        <v>4.1666666666666666E-3</v>
      </c>
      <c r="BC99">
        <f t="shared" si="47"/>
        <v>1.5840000000000001</v>
      </c>
      <c r="BD99">
        <f t="shared" si="48"/>
        <v>114.99092558983665</v>
      </c>
      <c r="BE99" s="18">
        <f t="shared" si="49"/>
        <v>0.9850746268656716</v>
      </c>
    </row>
    <row r="100" spans="7:57" x14ac:dyDescent="0.25">
      <c r="G100">
        <v>100</v>
      </c>
      <c r="H100">
        <v>15</v>
      </c>
      <c r="I100">
        <v>6.9</v>
      </c>
      <c r="J100">
        <f t="shared" si="50"/>
        <v>6.9000000000000008E-3</v>
      </c>
      <c r="K100">
        <f t="shared" si="51"/>
        <v>4.1666666666666666E-3</v>
      </c>
      <c r="L100">
        <f t="shared" si="52"/>
        <v>1.6560000000000001</v>
      </c>
      <c r="M100">
        <f t="shared" si="53"/>
        <v>120.21778584392015</v>
      </c>
      <c r="AG100" s="1">
        <f>AVERAGE(AG91:AG99)</f>
        <v>118.47549909255898</v>
      </c>
      <c r="AH100" s="16">
        <f>AVERAGE(AH91:AH99)</f>
        <v>116.53381730187536</v>
      </c>
      <c r="AJ100" s="19"/>
      <c r="AX100">
        <v>110</v>
      </c>
      <c r="AY100">
        <f>15</f>
        <v>15</v>
      </c>
      <c r="AZ100">
        <v>6.6</v>
      </c>
      <c r="BA100">
        <f t="shared" si="45"/>
        <v>6.6E-3</v>
      </c>
      <c r="BB100">
        <f t="shared" si="46"/>
        <v>4.1666666666666666E-3</v>
      </c>
      <c r="BC100">
        <f t="shared" si="47"/>
        <v>1.5840000000000001</v>
      </c>
      <c r="BD100">
        <f t="shared" si="48"/>
        <v>114.99092558983665</v>
      </c>
      <c r="BE100" s="18">
        <f t="shared" si="49"/>
        <v>0.9850746268656716</v>
      </c>
    </row>
    <row r="101" spans="7:57" x14ac:dyDescent="0.25">
      <c r="G101">
        <v>110</v>
      </c>
      <c r="H101">
        <v>15</v>
      </c>
      <c r="I101">
        <v>6.7</v>
      </c>
      <c r="J101">
        <f t="shared" si="50"/>
        <v>6.7000000000000002E-3</v>
      </c>
      <c r="K101">
        <f t="shared" si="51"/>
        <v>4.1666666666666666E-3</v>
      </c>
      <c r="L101">
        <f t="shared" si="52"/>
        <v>1.6080000000000001</v>
      </c>
      <c r="M101">
        <f t="shared" si="53"/>
        <v>116.73321234119781</v>
      </c>
      <c r="AX101">
        <v>120</v>
      </c>
      <c r="AY101">
        <f>15</f>
        <v>15</v>
      </c>
      <c r="AZ101">
        <v>6.6</v>
      </c>
      <c r="BA101">
        <f t="shared" si="45"/>
        <v>6.6E-3</v>
      </c>
      <c r="BB101">
        <f t="shared" si="46"/>
        <v>4.1666666666666666E-3</v>
      </c>
      <c r="BC101">
        <f t="shared" si="47"/>
        <v>1.5840000000000001</v>
      </c>
      <c r="BD101">
        <f t="shared" si="48"/>
        <v>114.99092558983665</v>
      </c>
      <c r="BE101" s="18">
        <f t="shared" si="49"/>
        <v>0.9687848383500558</v>
      </c>
    </row>
    <row r="102" spans="7:57" x14ac:dyDescent="0.25">
      <c r="G102">
        <v>120</v>
      </c>
      <c r="H102">
        <v>15</v>
      </c>
      <c r="I102">
        <v>6.7</v>
      </c>
      <c r="J102">
        <f t="shared" si="50"/>
        <v>6.7000000000000002E-3</v>
      </c>
      <c r="K102">
        <f t="shared" si="51"/>
        <v>4.1666666666666666E-3</v>
      </c>
      <c r="L102">
        <f t="shared" si="52"/>
        <v>1.6080000000000001</v>
      </c>
      <c r="M102">
        <f t="shared" si="53"/>
        <v>116.73321234119781</v>
      </c>
      <c r="BD102" s="1">
        <f>AVERAGE(BD89:BD101)</f>
        <v>116.4651682256038</v>
      </c>
      <c r="BE102" s="19"/>
    </row>
    <row r="103" spans="7:57" x14ac:dyDescent="0.25">
      <c r="M103" s="1">
        <f>AVERAGE(M90:M101)</f>
        <v>120.21778584392014</v>
      </c>
    </row>
    <row r="115" spans="7:58" x14ac:dyDescent="0.25">
      <c r="G115" s="1" t="s">
        <v>0</v>
      </c>
      <c r="H115" s="1" t="s">
        <v>1</v>
      </c>
      <c r="I115" s="1" t="s">
        <v>2</v>
      </c>
      <c r="J115" s="13" t="s">
        <v>3</v>
      </c>
      <c r="K115" s="13" t="s">
        <v>15</v>
      </c>
      <c r="L115" s="13" t="s">
        <v>16</v>
      </c>
      <c r="M115" s="13" t="s">
        <v>17</v>
      </c>
      <c r="T115" s="1" t="s">
        <v>4</v>
      </c>
      <c r="U115" s="1"/>
      <c r="V115" s="1"/>
      <c r="W115" s="1" t="s">
        <v>5</v>
      </c>
      <c r="X115" s="1"/>
      <c r="Y115" s="1" t="s">
        <v>6</v>
      </c>
      <c r="Z115" s="1"/>
    </row>
    <row r="116" spans="7:58" x14ac:dyDescent="0.25">
      <c r="G116">
        <v>0</v>
      </c>
      <c r="H116">
        <f>15</f>
        <v>15</v>
      </c>
      <c r="I116">
        <v>6.8</v>
      </c>
      <c r="J116">
        <f>I116*10^-3</f>
        <v>6.7999999999999996E-3</v>
      </c>
      <c r="K116">
        <f>H116/3600</f>
        <v>4.1666666666666666E-3</v>
      </c>
      <c r="L116">
        <f>J116/K116</f>
        <v>1.6319999999999999</v>
      </c>
      <c r="M116">
        <f>J116/(K116*$O$8)</f>
        <v>118.47549909255896</v>
      </c>
      <c r="S116" t="s">
        <v>0</v>
      </c>
      <c r="T116" t="s">
        <v>7</v>
      </c>
      <c r="U116" t="s">
        <v>8</v>
      </c>
      <c r="V116" s="15" t="s">
        <v>9</v>
      </c>
      <c r="W116" t="s">
        <v>7</v>
      </c>
      <c r="X116" t="s">
        <v>8</v>
      </c>
      <c r="Y116" t="s">
        <v>7</v>
      </c>
      <c r="Z116" t="s">
        <v>8</v>
      </c>
      <c r="AA116" t="s">
        <v>9</v>
      </c>
      <c r="AB116" t="s">
        <v>10</v>
      </c>
      <c r="AC116" t="s">
        <v>1</v>
      </c>
      <c r="AD116" s="13" t="s">
        <v>15</v>
      </c>
      <c r="AE116" s="13" t="s">
        <v>19</v>
      </c>
      <c r="AF116" s="13" t="s">
        <v>20</v>
      </c>
      <c r="AG116" s="13" t="s">
        <v>21</v>
      </c>
      <c r="AH116" s="14" t="s">
        <v>22</v>
      </c>
      <c r="AI116" s="20" t="s">
        <v>33</v>
      </c>
      <c r="AJ116" s="13" t="s">
        <v>23</v>
      </c>
      <c r="AK116" s="22" t="s">
        <v>42</v>
      </c>
      <c r="AX116" t="s">
        <v>0</v>
      </c>
      <c r="AY116" t="s">
        <v>1</v>
      </c>
      <c r="AZ116" t="s">
        <v>2</v>
      </c>
      <c r="BA116" s="17" t="s">
        <v>3</v>
      </c>
      <c r="BB116" s="13" t="s">
        <v>15</v>
      </c>
      <c r="BC116" s="13" t="s">
        <v>16</v>
      </c>
      <c r="BD116" s="13" t="s">
        <v>17</v>
      </c>
      <c r="BE116" s="13" t="s">
        <v>24</v>
      </c>
      <c r="BF116" s="22" t="s">
        <v>32</v>
      </c>
    </row>
    <row r="117" spans="7:58" x14ac:dyDescent="0.25">
      <c r="G117">
        <v>10</v>
      </c>
      <c r="H117">
        <f>15</f>
        <v>15</v>
      </c>
      <c r="I117">
        <v>6.7</v>
      </c>
      <c r="J117">
        <f t="shared" ref="J117:J128" si="60">I117*10^-3</f>
        <v>6.7000000000000002E-3</v>
      </c>
      <c r="K117">
        <f t="shared" ref="K117:K128" si="61">H117/3600</f>
        <v>4.1666666666666666E-3</v>
      </c>
      <c r="L117">
        <f t="shared" ref="L117:L128" si="62">J117/K117</f>
        <v>1.6080000000000001</v>
      </c>
      <c r="M117">
        <f t="shared" ref="M117:M127" si="63">J117/(K117*$O$8)</f>
        <v>116.73321234119781</v>
      </c>
      <c r="S117">
        <v>0</v>
      </c>
      <c r="T117">
        <v>268.2</v>
      </c>
      <c r="U117">
        <v>0.1681</v>
      </c>
      <c r="V117" s="15">
        <v>23.2</v>
      </c>
      <c r="W117">
        <v>255.8</v>
      </c>
      <c r="X117">
        <v>0.16020000000000001</v>
      </c>
      <c r="Y117">
        <v>3.1</v>
      </c>
      <c r="Z117">
        <v>2.5000000000000001E-3</v>
      </c>
      <c r="AA117">
        <v>22.9</v>
      </c>
      <c r="AB117">
        <v>6.7</v>
      </c>
      <c r="AC117">
        <f>15</f>
        <v>15</v>
      </c>
      <c r="AD117">
        <f>AC117/3600</f>
        <v>4.1666666666666666E-3</v>
      </c>
      <c r="AE117">
        <f>AB117*10^-3</f>
        <v>6.7000000000000002E-3</v>
      </c>
      <c r="AF117">
        <f>AE117/AD117</f>
        <v>1.6080000000000001</v>
      </c>
      <c r="AG117">
        <f>AE117/(AD117*$O$8)</f>
        <v>116.73321234119781</v>
      </c>
      <c r="AH117" s="15">
        <f>AG117*BS22</f>
        <v>124.20413793103448</v>
      </c>
      <c r="AI117" s="21">
        <f>AH117/$AH$117</f>
        <v>1</v>
      </c>
      <c r="AJ117" s="18">
        <f>($AH$117-AH117)/$AH$117</f>
        <v>0</v>
      </c>
      <c r="AK117" s="18">
        <f>AJ125</f>
        <v>0.11738300976321397</v>
      </c>
      <c r="AX117">
        <v>0</v>
      </c>
      <c r="AY117">
        <f>15</f>
        <v>15</v>
      </c>
      <c r="AZ117">
        <v>6.2</v>
      </c>
      <c r="BA117">
        <f>AZ117*10^-3</f>
        <v>6.2000000000000006E-3</v>
      </c>
      <c r="BB117">
        <f>AY117/3600</f>
        <v>4.1666666666666666E-3</v>
      </c>
      <c r="BC117">
        <f>BA117/BB117</f>
        <v>1.4880000000000002</v>
      </c>
      <c r="BD117">
        <f>BA117/(BB117*$O$8)</f>
        <v>108.02177858439202</v>
      </c>
      <c r="BE117" s="18">
        <f>(BD117/M116)</f>
        <v>0.91176470588235314</v>
      </c>
      <c r="BF117" s="18">
        <f>BD130/M129</f>
        <v>0.88396349413298558</v>
      </c>
    </row>
    <row r="118" spans="7:58" x14ac:dyDescent="0.25">
      <c r="G118">
        <v>20</v>
      </c>
      <c r="H118">
        <f>15</f>
        <v>15</v>
      </c>
      <c r="I118">
        <v>6.9</v>
      </c>
      <c r="J118">
        <f t="shared" si="60"/>
        <v>6.9000000000000008E-3</v>
      </c>
      <c r="K118">
        <f t="shared" si="61"/>
        <v>4.1666666666666666E-3</v>
      </c>
      <c r="L118">
        <f t="shared" si="62"/>
        <v>1.6560000000000001</v>
      </c>
      <c r="M118">
        <f t="shared" si="63"/>
        <v>120.21778584392015</v>
      </c>
      <c r="S118">
        <v>30</v>
      </c>
      <c r="T118">
        <v>271</v>
      </c>
      <c r="U118">
        <v>0.17050000000000001</v>
      </c>
      <c r="V118" s="15">
        <v>23.9</v>
      </c>
      <c r="W118">
        <v>260.3</v>
      </c>
      <c r="X118">
        <v>0.16520000000000001</v>
      </c>
      <c r="Y118">
        <v>3.1</v>
      </c>
      <c r="Z118">
        <v>2.5999999999999999E-3</v>
      </c>
      <c r="AA118">
        <v>22.8</v>
      </c>
      <c r="AB118">
        <v>6.8</v>
      </c>
      <c r="AC118">
        <f>15</f>
        <v>15</v>
      </c>
      <c r="AD118">
        <f t="shared" ref="AD118:AD125" si="64">AC118/3600</f>
        <v>4.1666666666666666E-3</v>
      </c>
      <c r="AE118">
        <f t="shared" ref="AE118:AE125" si="65">AB118*10^-3</f>
        <v>6.7999999999999996E-3</v>
      </c>
      <c r="AF118">
        <f t="shared" ref="AF118:AF125" si="66">AE118/AD118</f>
        <v>1.6319999999999999</v>
      </c>
      <c r="AG118">
        <f t="shared" ref="AG118:AG125" si="67">AE118/(AD118*$O$8)</f>
        <v>118.47549909255896</v>
      </c>
      <c r="AH118" s="15">
        <f>AG118*BS29</f>
        <v>122.9775680580762</v>
      </c>
      <c r="AI118" s="21">
        <f t="shared" ref="AI118:AI125" si="68">AH118/$AH$117</f>
        <v>0.99012456514420366</v>
      </c>
      <c r="AJ118" s="18">
        <f t="shared" ref="AJ118:AJ125" si="69">($AH$117-AH118)/$AH$117</f>
        <v>9.8754348557963823E-3</v>
      </c>
      <c r="AX118">
        <v>10</v>
      </c>
      <c r="AY118">
        <f>15</f>
        <v>15</v>
      </c>
      <c r="AZ118">
        <v>6.2</v>
      </c>
      <c r="BA118">
        <f t="shared" ref="BA118:BA129" si="70">AZ118*10^-3</f>
        <v>6.2000000000000006E-3</v>
      </c>
      <c r="BB118">
        <f t="shared" ref="BB118:BB129" si="71">AY118/3600</f>
        <v>4.1666666666666666E-3</v>
      </c>
      <c r="BC118">
        <f t="shared" ref="BC118:BC129" si="72">BA118/BB118</f>
        <v>1.4880000000000002</v>
      </c>
      <c r="BD118">
        <f t="shared" ref="BD118:BD129" si="73">BA118/(BB118*$O$8)</f>
        <v>108.02177858439202</v>
      </c>
      <c r="BE118" s="18">
        <f t="shared" ref="BE118:BE129" si="74">(BD118/M117)</f>
        <v>0.92537313432835833</v>
      </c>
    </row>
    <row r="119" spans="7:58" x14ac:dyDescent="0.25">
      <c r="G119">
        <v>30</v>
      </c>
      <c r="H119">
        <f>15</f>
        <v>15</v>
      </c>
      <c r="I119">
        <v>7</v>
      </c>
      <c r="J119">
        <f t="shared" si="60"/>
        <v>7.0000000000000001E-3</v>
      </c>
      <c r="K119">
        <f t="shared" si="61"/>
        <v>4.1666666666666666E-3</v>
      </c>
      <c r="L119">
        <f t="shared" si="62"/>
        <v>1.6800000000000002</v>
      </c>
      <c r="M119">
        <f t="shared" si="63"/>
        <v>121.9600725952813</v>
      </c>
      <c r="S119">
        <v>60</v>
      </c>
      <c r="T119">
        <v>274.89999999999998</v>
      </c>
      <c r="U119">
        <v>0.18060000000000001</v>
      </c>
      <c r="V119" s="15">
        <v>24.2</v>
      </c>
      <c r="W119">
        <v>268.2</v>
      </c>
      <c r="X119">
        <v>0.1671</v>
      </c>
      <c r="Y119">
        <v>3.2</v>
      </c>
      <c r="Z119">
        <v>2.8E-3</v>
      </c>
      <c r="AA119">
        <v>22.6</v>
      </c>
      <c r="AB119">
        <v>6.6</v>
      </c>
      <c r="AC119">
        <f>15</f>
        <v>15</v>
      </c>
      <c r="AD119">
        <f t="shared" si="64"/>
        <v>4.1666666666666666E-3</v>
      </c>
      <c r="AE119">
        <f t="shared" si="65"/>
        <v>6.6E-3</v>
      </c>
      <c r="AF119">
        <f t="shared" si="66"/>
        <v>1.5840000000000001</v>
      </c>
      <c r="AG119">
        <f t="shared" si="67"/>
        <v>114.99092558983665</v>
      </c>
      <c r="AH119" s="15">
        <f>AG119*BS32</f>
        <v>118.21067150635209</v>
      </c>
      <c r="AI119" s="21">
        <f t="shared" si="68"/>
        <v>0.95174503422735945</v>
      </c>
      <c r="AJ119" s="18">
        <f t="shared" si="69"/>
        <v>4.825496577264056E-2</v>
      </c>
      <c r="AX119">
        <v>20</v>
      </c>
      <c r="AY119">
        <f>15</f>
        <v>15</v>
      </c>
      <c r="AZ119">
        <v>6.1</v>
      </c>
      <c r="BA119">
        <f t="shared" si="70"/>
        <v>6.0999999999999995E-3</v>
      </c>
      <c r="BB119">
        <f t="shared" si="71"/>
        <v>4.1666666666666666E-3</v>
      </c>
      <c r="BC119">
        <f t="shared" si="72"/>
        <v>1.464</v>
      </c>
      <c r="BD119">
        <f t="shared" si="73"/>
        <v>106.27949183303083</v>
      </c>
      <c r="BE119" s="18">
        <f t="shared" si="74"/>
        <v>0.88405797101449246</v>
      </c>
    </row>
    <row r="120" spans="7:58" x14ac:dyDescent="0.25">
      <c r="G120">
        <v>40</v>
      </c>
      <c r="H120">
        <f>15</f>
        <v>15</v>
      </c>
      <c r="I120">
        <v>7</v>
      </c>
      <c r="J120">
        <f t="shared" si="60"/>
        <v>7.0000000000000001E-3</v>
      </c>
      <c r="K120">
        <f t="shared" si="61"/>
        <v>4.1666666666666666E-3</v>
      </c>
      <c r="L120">
        <f t="shared" si="62"/>
        <v>1.6800000000000002</v>
      </c>
      <c r="M120">
        <f t="shared" si="63"/>
        <v>121.9600725952813</v>
      </c>
      <c r="S120">
        <v>90</v>
      </c>
      <c r="T120">
        <v>279.60000000000002</v>
      </c>
      <c r="U120">
        <v>0.1825</v>
      </c>
      <c r="V120" s="15">
        <v>24.6</v>
      </c>
      <c r="W120">
        <v>276.2</v>
      </c>
      <c r="X120">
        <v>0.17230000000000001</v>
      </c>
      <c r="Y120">
        <v>3.3</v>
      </c>
      <c r="Z120">
        <v>2.8E-3</v>
      </c>
      <c r="AA120">
        <v>22.5</v>
      </c>
      <c r="AB120">
        <v>6.6</v>
      </c>
      <c r="AC120">
        <f>15</f>
        <v>15</v>
      </c>
      <c r="AD120">
        <f t="shared" si="64"/>
        <v>4.1666666666666666E-3</v>
      </c>
      <c r="AE120">
        <f t="shared" si="65"/>
        <v>6.6E-3</v>
      </c>
      <c r="AF120">
        <f t="shared" si="66"/>
        <v>1.5840000000000001</v>
      </c>
      <c r="AG120">
        <f t="shared" si="67"/>
        <v>114.99092558983665</v>
      </c>
      <c r="AH120" s="15">
        <f>AG120*BS36</f>
        <v>116.60079854809436</v>
      </c>
      <c r="AI120" s="21">
        <f t="shared" si="68"/>
        <v>0.93878352597912684</v>
      </c>
      <c r="AJ120" s="18">
        <f t="shared" si="69"/>
        <v>6.1216474020873171E-2</v>
      </c>
      <c r="AX120">
        <v>30</v>
      </c>
      <c r="AY120">
        <f>15</f>
        <v>15</v>
      </c>
      <c r="AZ120">
        <v>6.2</v>
      </c>
      <c r="BA120">
        <f t="shared" si="70"/>
        <v>6.2000000000000006E-3</v>
      </c>
      <c r="BB120">
        <f t="shared" si="71"/>
        <v>4.1666666666666666E-3</v>
      </c>
      <c r="BC120">
        <f t="shared" si="72"/>
        <v>1.4880000000000002</v>
      </c>
      <c r="BD120">
        <f t="shared" si="73"/>
        <v>108.02177858439202</v>
      </c>
      <c r="BE120" s="18">
        <f t="shared" si="74"/>
        <v>0.88571428571428579</v>
      </c>
    </row>
    <row r="121" spans="7:58" x14ac:dyDescent="0.25">
      <c r="G121">
        <v>50</v>
      </c>
      <c r="H121">
        <f>15</f>
        <v>15</v>
      </c>
      <c r="I121">
        <v>7.1</v>
      </c>
      <c r="J121">
        <f t="shared" si="60"/>
        <v>7.0999999999999995E-3</v>
      </c>
      <c r="K121">
        <f t="shared" si="61"/>
        <v>4.1666666666666666E-3</v>
      </c>
      <c r="L121">
        <f t="shared" si="62"/>
        <v>1.704</v>
      </c>
      <c r="M121">
        <f t="shared" si="63"/>
        <v>123.70235934664245</v>
      </c>
      <c r="S121">
        <v>120</v>
      </c>
      <c r="T121">
        <v>283.7</v>
      </c>
      <c r="U121">
        <v>0.18509999999999999</v>
      </c>
      <c r="V121" s="15">
        <v>25</v>
      </c>
      <c r="W121">
        <v>286.2</v>
      </c>
      <c r="X121">
        <v>0.17749999999999999</v>
      </c>
      <c r="Y121">
        <v>3.4</v>
      </c>
      <c r="Z121">
        <v>2.8999999999999998E-3</v>
      </c>
      <c r="AA121">
        <v>22.3</v>
      </c>
      <c r="AB121">
        <v>6.7</v>
      </c>
      <c r="AC121">
        <f>15</f>
        <v>15</v>
      </c>
      <c r="AD121">
        <f t="shared" si="64"/>
        <v>4.1666666666666666E-3</v>
      </c>
      <c r="AE121">
        <f t="shared" si="65"/>
        <v>6.7000000000000002E-3</v>
      </c>
      <c r="AF121">
        <f t="shared" si="66"/>
        <v>1.6080000000000001</v>
      </c>
      <c r="AG121">
        <f t="shared" si="67"/>
        <v>116.73321234119781</v>
      </c>
      <c r="AH121" s="15">
        <f>AG121*BS40</f>
        <v>116.73321234119781</v>
      </c>
      <c r="AI121" s="21">
        <f t="shared" si="68"/>
        <v>0.93984962406015027</v>
      </c>
      <c r="AJ121" s="18">
        <f t="shared" si="69"/>
        <v>6.0150375939849683E-2</v>
      </c>
      <c r="AX121">
        <v>40</v>
      </c>
      <c r="AY121">
        <f>15</f>
        <v>15</v>
      </c>
      <c r="AZ121">
        <v>6.1</v>
      </c>
      <c r="BA121">
        <f t="shared" si="70"/>
        <v>6.0999999999999995E-3</v>
      </c>
      <c r="BB121">
        <f t="shared" si="71"/>
        <v>4.1666666666666666E-3</v>
      </c>
      <c r="BC121">
        <f t="shared" si="72"/>
        <v>1.464</v>
      </c>
      <c r="BD121">
        <f t="shared" si="73"/>
        <v>106.27949183303083</v>
      </c>
      <c r="BE121" s="18">
        <f t="shared" si="74"/>
        <v>0.87142857142857133</v>
      </c>
    </row>
    <row r="122" spans="7:58" x14ac:dyDescent="0.25">
      <c r="G122">
        <v>60</v>
      </c>
      <c r="H122">
        <f>15</f>
        <v>15</v>
      </c>
      <c r="I122">
        <v>7</v>
      </c>
      <c r="J122">
        <f t="shared" si="60"/>
        <v>7.0000000000000001E-3</v>
      </c>
      <c r="K122">
        <f t="shared" si="61"/>
        <v>4.1666666666666666E-3</v>
      </c>
      <c r="L122">
        <f t="shared" si="62"/>
        <v>1.6800000000000002</v>
      </c>
      <c r="M122">
        <f t="shared" si="63"/>
        <v>121.9600725952813</v>
      </c>
      <c r="S122">
        <v>150</v>
      </c>
      <c r="T122">
        <v>289.89999999999998</v>
      </c>
      <c r="U122">
        <v>0.19650000000000001</v>
      </c>
      <c r="V122" s="15">
        <v>25.3</v>
      </c>
      <c r="W122">
        <v>291.60000000000002</v>
      </c>
      <c r="X122">
        <v>0.18260000000000001</v>
      </c>
      <c r="Y122">
        <v>3.5</v>
      </c>
      <c r="Z122">
        <v>3.0000000000000001E-3</v>
      </c>
      <c r="AA122">
        <v>22.1</v>
      </c>
      <c r="AB122">
        <v>6.8</v>
      </c>
      <c r="AC122">
        <f>15</f>
        <v>15</v>
      </c>
      <c r="AD122">
        <f t="shared" si="64"/>
        <v>4.1666666666666666E-3</v>
      </c>
      <c r="AE122">
        <f t="shared" si="65"/>
        <v>6.7999999999999996E-3</v>
      </c>
      <c r="AF122">
        <f t="shared" si="66"/>
        <v>1.6319999999999999</v>
      </c>
      <c r="AG122">
        <f t="shared" si="67"/>
        <v>118.47549909255896</v>
      </c>
      <c r="AH122" s="15">
        <f>AG122*BS43</f>
        <v>117.40921960072593</v>
      </c>
      <c r="AI122" s="21">
        <f t="shared" si="68"/>
        <v>0.94529233531590151</v>
      </c>
      <c r="AJ122" s="18">
        <f t="shared" si="69"/>
        <v>5.4707664684098448E-2</v>
      </c>
      <c r="AX122">
        <v>50</v>
      </c>
      <c r="AY122">
        <f>15</f>
        <v>15</v>
      </c>
      <c r="AZ122">
        <v>6</v>
      </c>
      <c r="BA122">
        <f t="shared" si="70"/>
        <v>6.0000000000000001E-3</v>
      </c>
      <c r="BB122">
        <f t="shared" si="71"/>
        <v>4.1666666666666666E-3</v>
      </c>
      <c r="BC122">
        <f t="shared" si="72"/>
        <v>1.44</v>
      </c>
      <c r="BD122">
        <f t="shared" si="73"/>
        <v>104.53720508166968</v>
      </c>
      <c r="BE122" s="18">
        <f t="shared" si="74"/>
        <v>0.84507042253521125</v>
      </c>
    </row>
    <row r="123" spans="7:58" x14ac:dyDescent="0.25">
      <c r="G123">
        <v>70</v>
      </c>
      <c r="H123">
        <f>15</f>
        <v>15</v>
      </c>
      <c r="I123">
        <v>6.9</v>
      </c>
      <c r="J123">
        <f t="shared" si="60"/>
        <v>6.9000000000000008E-3</v>
      </c>
      <c r="K123">
        <f t="shared" si="61"/>
        <v>4.1666666666666666E-3</v>
      </c>
      <c r="L123">
        <f t="shared" si="62"/>
        <v>1.6560000000000001</v>
      </c>
      <c r="M123">
        <f t="shared" si="63"/>
        <v>120.21778584392015</v>
      </c>
      <c r="S123">
        <v>180</v>
      </c>
      <c r="T123">
        <v>297.8</v>
      </c>
      <c r="U123">
        <v>0.2024</v>
      </c>
      <c r="V123" s="15">
        <v>25.6</v>
      </c>
      <c r="W123">
        <v>297.10000000000002</v>
      </c>
      <c r="X123">
        <v>0.18579999999999999</v>
      </c>
      <c r="Y123">
        <v>3.5</v>
      </c>
      <c r="Z123">
        <v>3.0999999999999999E-3</v>
      </c>
      <c r="AA123">
        <v>21.9</v>
      </c>
      <c r="AB123">
        <v>6.7</v>
      </c>
      <c r="AC123">
        <f>15</f>
        <v>15</v>
      </c>
      <c r="AD123">
        <f t="shared" si="64"/>
        <v>4.1666666666666666E-3</v>
      </c>
      <c r="AE123">
        <f t="shared" si="65"/>
        <v>6.7000000000000002E-3</v>
      </c>
      <c r="AF123">
        <f t="shared" si="66"/>
        <v>1.6080000000000001</v>
      </c>
      <c r="AG123">
        <f t="shared" si="67"/>
        <v>116.73321234119781</v>
      </c>
      <c r="AH123" s="15">
        <f>AG123*BS46</f>
        <v>114.63201451905626</v>
      </c>
      <c r="AI123" s="21">
        <f t="shared" si="68"/>
        <v>0.9229323308270676</v>
      </c>
      <c r="AJ123" s="18">
        <f t="shared" si="69"/>
        <v>7.7067669172932368E-2</v>
      </c>
      <c r="AX123">
        <v>60</v>
      </c>
      <c r="AY123">
        <f>15</f>
        <v>15</v>
      </c>
      <c r="AZ123">
        <v>6</v>
      </c>
      <c r="BA123">
        <f t="shared" si="70"/>
        <v>6.0000000000000001E-3</v>
      </c>
      <c r="BB123">
        <f t="shared" si="71"/>
        <v>4.1666666666666666E-3</v>
      </c>
      <c r="BC123">
        <f t="shared" si="72"/>
        <v>1.44</v>
      </c>
      <c r="BD123">
        <f t="shared" si="73"/>
        <v>104.53720508166968</v>
      </c>
      <c r="BE123" s="18">
        <f t="shared" si="74"/>
        <v>0.8571428571428571</v>
      </c>
    </row>
    <row r="124" spans="7:58" x14ac:dyDescent="0.25">
      <c r="G124">
        <v>80</v>
      </c>
      <c r="H124">
        <f>15</f>
        <v>15</v>
      </c>
      <c r="I124">
        <v>6.9</v>
      </c>
      <c r="J124">
        <f t="shared" si="60"/>
        <v>6.9000000000000008E-3</v>
      </c>
      <c r="K124">
        <f t="shared" si="61"/>
        <v>4.1666666666666666E-3</v>
      </c>
      <c r="L124">
        <f t="shared" si="62"/>
        <v>1.6560000000000001</v>
      </c>
      <c r="M124">
        <f t="shared" si="63"/>
        <v>120.21778584392015</v>
      </c>
      <c r="S124">
        <v>210</v>
      </c>
      <c r="T124">
        <v>299.7</v>
      </c>
      <c r="U124">
        <v>0.23960000000000001</v>
      </c>
      <c r="V124" s="15">
        <v>25.9</v>
      </c>
      <c r="W124">
        <v>306.8</v>
      </c>
      <c r="X124">
        <v>0.1903</v>
      </c>
      <c r="Y124">
        <v>3.6</v>
      </c>
      <c r="Z124">
        <v>3.2000000000000002E-3</v>
      </c>
      <c r="AA124">
        <v>21.7</v>
      </c>
      <c r="AB124">
        <v>6.6</v>
      </c>
      <c r="AC124">
        <f>15</f>
        <v>15</v>
      </c>
      <c r="AD124">
        <f t="shared" si="64"/>
        <v>4.1666666666666666E-3</v>
      </c>
      <c r="AE124">
        <f t="shared" si="65"/>
        <v>6.6E-3</v>
      </c>
      <c r="AF124">
        <f t="shared" si="66"/>
        <v>1.5840000000000001</v>
      </c>
      <c r="AG124">
        <f t="shared" si="67"/>
        <v>114.99092558983665</v>
      </c>
      <c r="AH124" s="15">
        <f>AG124*BS49</f>
        <v>112.0011615245009</v>
      </c>
      <c r="AI124" s="21">
        <f t="shared" si="68"/>
        <v>0.90175064526989113</v>
      </c>
      <c r="AJ124" s="18">
        <f t="shared" si="69"/>
        <v>9.8249354730108887E-2</v>
      </c>
      <c r="AX124">
        <v>70</v>
      </c>
      <c r="AY124">
        <f>15</f>
        <v>15</v>
      </c>
      <c r="AZ124">
        <v>6</v>
      </c>
      <c r="BA124">
        <f t="shared" si="70"/>
        <v>6.0000000000000001E-3</v>
      </c>
      <c r="BB124">
        <f t="shared" si="71"/>
        <v>4.1666666666666666E-3</v>
      </c>
      <c r="BC124">
        <f t="shared" si="72"/>
        <v>1.44</v>
      </c>
      <c r="BD124">
        <f t="shared" si="73"/>
        <v>104.53720508166968</v>
      </c>
      <c r="BE124" s="18">
        <f t="shared" si="74"/>
        <v>0.86956521739130421</v>
      </c>
    </row>
    <row r="125" spans="7:58" x14ac:dyDescent="0.25">
      <c r="G125">
        <v>90</v>
      </c>
      <c r="H125">
        <v>15</v>
      </c>
      <c r="I125">
        <v>6.8</v>
      </c>
      <c r="J125">
        <f t="shared" si="60"/>
        <v>6.7999999999999996E-3</v>
      </c>
      <c r="K125">
        <f t="shared" si="61"/>
        <v>4.1666666666666666E-3</v>
      </c>
      <c r="L125">
        <f t="shared" si="62"/>
        <v>1.6319999999999999</v>
      </c>
      <c r="M125">
        <f t="shared" si="63"/>
        <v>118.47549909255896</v>
      </c>
      <c r="S125">
        <v>240</v>
      </c>
      <c r="T125">
        <v>308.8</v>
      </c>
      <c r="U125">
        <v>0.24210000000000001</v>
      </c>
      <c r="V125" s="15">
        <v>26.1</v>
      </c>
      <c r="W125">
        <v>315.2</v>
      </c>
      <c r="X125">
        <v>0.19239999999999999</v>
      </c>
      <c r="Y125">
        <v>3.6</v>
      </c>
      <c r="Z125">
        <v>3.2000000000000002E-3</v>
      </c>
      <c r="AA125">
        <v>21.5</v>
      </c>
      <c r="AB125">
        <v>6.5</v>
      </c>
      <c r="AC125">
        <f>15</f>
        <v>15</v>
      </c>
      <c r="AD125">
        <f t="shared" si="64"/>
        <v>4.1666666666666666E-3</v>
      </c>
      <c r="AE125">
        <f t="shared" si="65"/>
        <v>6.5000000000000006E-3</v>
      </c>
      <c r="AF125">
        <f t="shared" si="66"/>
        <v>1.56</v>
      </c>
      <c r="AG125">
        <f t="shared" si="67"/>
        <v>113.2486388384755</v>
      </c>
      <c r="AH125" s="15">
        <f>AG125*BU11</f>
        <v>109.62468239564429</v>
      </c>
      <c r="AI125" s="21">
        <f t="shared" si="68"/>
        <v>0.88261699023678608</v>
      </c>
      <c r="AJ125" s="18">
        <f t="shared" si="69"/>
        <v>0.11738300976321397</v>
      </c>
      <c r="AX125">
        <v>80</v>
      </c>
      <c r="AY125">
        <f>15</f>
        <v>15</v>
      </c>
      <c r="AZ125">
        <v>6</v>
      </c>
      <c r="BA125">
        <f t="shared" si="70"/>
        <v>6.0000000000000001E-3</v>
      </c>
      <c r="BB125">
        <f t="shared" si="71"/>
        <v>4.1666666666666666E-3</v>
      </c>
      <c r="BC125">
        <f t="shared" si="72"/>
        <v>1.44</v>
      </c>
      <c r="BD125">
        <f t="shared" si="73"/>
        <v>104.53720508166968</v>
      </c>
      <c r="BE125" s="18">
        <f t="shared" si="74"/>
        <v>0.86956521739130421</v>
      </c>
    </row>
    <row r="126" spans="7:58" x14ac:dyDescent="0.25">
      <c r="G126">
        <v>100</v>
      </c>
      <c r="H126">
        <v>15</v>
      </c>
      <c r="I126">
        <v>6.8</v>
      </c>
      <c r="J126">
        <f t="shared" si="60"/>
        <v>6.7999999999999996E-3</v>
      </c>
      <c r="K126">
        <f t="shared" si="61"/>
        <v>4.1666666666666666E-3</v>
      </c>
      <c r="L126">
        <f t="shared" si="62"/>
        <v>1.6319999999999999</v>
      </c>
      <c r="M126">
        <f t="shared" si="63"/>
        <v>118.47549909255896</v>
      </c>
      <c r="AG126" s="1">
        <f>AVERAGE(AG117:AG125)</f>
        <v>116.1524500907441</v>
      </c>
      <c r="AH126" s="16">
        <f>AVERAGE(AH117:AH125)</f>
        <v>116.93260738052024</v>
      </c>
      <c r="AX126">
        <v>90</v>
      </c>
      <c r="AY126">
        <f>15</f>
        <v>15</v>
      </c>
      <c r="AZ126">
        <v>6.2</v>
      </c>
      <c r="BA126">
        <f t="shared" si="70"/>
        <v>6.2000000000000006E-3</v>
      </c>
      <c r="BB126">
        <f t="shared" si="71"/>
        <v>4.1666666666666666E-3</v>
      </c>
      <c r="BC126">
        <f t="shared" si="72"/>
        <v>1.4880000000000002</v>
      </c>
      <c r="BD126">
        <f t="shared" si="73"/>
        <v>108.02177858439202</v>
      </c>
      <c r="BE126" s="18">
        <f t="shared" si="74"/>
        <v>0.91176470588235314</v>
      </c>
    </row>
    <row r="127" spans="7:58" x14ac:dyDescent="0.25">
      <c r="G127">
        <v>110</v>
      </c>
      <c r="H127">
        <v>15</v>
      </c>
      <c r="I127">
        <v>6.7</v>
      </c>
      <c r="J127">
        <f t="shared" si="60"/>
        <v>6.7000000000000002E-3</v>
      </c>
      <c r="K127">
        <f t="shared" si="61"/>
        <v>4.1666666666666666E-3</v>
      </c>
      <c r="L127">
        <f t="shared" si="62"/>
        <v>1.6080000000000001</v>
      </c>
      <c r="M127">
        <f t="shared" si="63"/>
        <v>116.73321234119781</v>
      </c>
      <c r="AX127">
        <v>100</v>
      </c>
      <c r="AY127">
        <f>15</f>
        <v>15</v>
      </c>
      <c r="AZ127">
        <v>6.1</v>
      </c>
      <c r="BA127">
        <f t="shared" si="70"/>
        <v>6.0999999999999995E-3</v>
      </c>
      <c r="BB127">
        <f t="shared" si="71"/>
        <v>4.1666666666666666E-3</v>
      </c>
      <c r="BC127">
        <f t="shared" si="72"/>
        <v>1.464</v>
      </c>
      <c r="BD127">
        <f t="shared" si="73"/>
        <v>106.27949183303083</v>
      </c>
      <c r="BE127" s="18">
        <f t="shared" si="74"/>
        <v>0.8970588235294118</v>
      </c>
    </row>
    <row r="128" spans="7:58" x14ac:dyDescent="0.25">
      <c r="G128">
        <v>120</v>
      </c>
      <c r="H128">
        <v>15</v>
      </c>
      <c r="I128">
        <v>6.7</v>
      </c>
      <c r="J128">
        <f t="shared" si="60"/>
        <v>6.7000000000000002E-3</v>
      </c>
      <c r="K128">
        <f t="shared" si="61"/>
        <v>4.1666666666666666E-3</v>
      </c>
      <c r="L128">
        <f t="shared" si="62"/>
        <v>1.6080000000000001</v>
      </c>
      <c r="M128">
        <f>J128/(K128*$O$8)</f>
        <v>116.73321234119781</v>
      </c>
      <c r="AX128">
        <v>110</v>
      </c>
      <c r="AY128">
        <f>15</f>
        <v>15</v>
      </c>
      <c r="AZ128">
        <v>6</v>
      </c>
      <c r="BA128">
        <f t="shared" si="70"/>
        <v>6.0000000000000001E-3</v>
      </c>
      <c r="BB128">
        <f t="shared" si="71"/>
        <v>4.1666666666666666E-3</v>
      </c>
      <c r="BC128">
        <f t="shared" si="72"/>
        <v>1.44</v>
      </c>
      <c r="BD128">
        <f t="shared" si="73"/>
        <v>104.53720508166968</v>
      </c>
      <c r="BE128" s="18">
        <f t="shared" si="74"/>
        <v>0.89552238805970152</v>
      </c>
    </row>
    <row r="129" spans="13:57" x14ac:dyDescent="0.25">
      <c r="M129" s="1">
        <f>AVERAGE(M116:M127)</f>
        <v>119.92740471869327</v>
      </c>
      <c r="AX129">
        <v>120</v>
      </c>
      <c r="AY129">
        <f>15</f>
        <v>15</v>
      </c>
      <c r="AZ129">
        <v>6</v>
      </c>
      <c r="BA129">
        <f t="shared" si="70"/>
        <v>6.0000000000000001E-3</v>
      </c>
      <c r="BB129">
        <f t="shared" si="71"/>
        <v>4.1666666666666666E-3</v>
      </c>
      <c r="BC129">
        <f t="shared" si="72"/>
        <v>1.44</v>
      </c>
      <c r="BD129">
        <f t="shared" si="73"/>
        <v>104.53720508166968</v>
      </c>
      <c r="BE129" s="18">
        <f t="shared" si="74"/>
        <v>0.89552238805970152</v>
      </c>
    </row>
    <row r="130" spans="13:57" x14ac:dyDescent="0.25">
      <c r="BD130" s="1">
        <f>AVERAGE(BD117:BD129)</f>
        <v>106.01144771743681</v>
      </c>
      <c r="BE130" s="19"/>
    </row>
    <row r="161" spans="23:27" x14ac:dyDescent="0.25">
      <c r="W161" s="23"/>
      <c r="X161" s="24" t="s">
        <v>23</v>
      </c>
      <c r="Y161" s="23"/>
      <c r="Z161" s="23"/>
      <c r="AA161" s="24" t="s">
        <v>24</v>
      </c>
    </row>
    <row r="162" spans="23:27" x14ac:dyDescent="0.25">
      <c r="W162" s="24" t="s">
        <v>26</v>
      </c>
      <c r="X162" s="25">
        <f>AK14</f>
        <v>0.11290139244103409</v>
      </c>
      <c r="Y162" s="23"/>
      <c r="Z162" s="25"/>
      <c r="AA162" s="25">
        <f>BF14</f>
        <v>0.82258064516129015</v>
      </c>
    </row>
    <row r="163" spans="23:27" x14ac:dyDescent="0.25">
      <c r="W163" s="24" t="s">
        <v>27</v>
      </c>
      <c r="X163" s="25">
        <f>AK40</f>
        <v>0.12237799657534243</v>
      </c>
      <c r="Y163" s="23"/>
      <c r="Z163" s="25"/>
      <c r="AA163" s="25">
        <f>BF40</f>
        <v>0.96875</v>
      </c>
    </row>
    <row r="164" spans="23:27" x14ac:dyDescent="0.25">
      <c r="W164" s="24" t="s">
        <v>28</v>
      </c>
      <c r="X164" s="25">
        <f>AK65</f>
        <v>0.12681520744252125</v>
      </c>
      <c r="Y164" s="23"/>
      <c r="Z164" s="25"/>
      <c r="AA164" s="25">
        <f>BF65</f>
        <v>0.94266813671444316</v>
      </c>
    </row>
    <row r="165" spans="23:27" x14ac:dyDescent="0.25">
      <c r="W165" s="24" t="s">
        <v>29</v>
      </c>
      <c r="X165" s="25">
        <f>AK91</f>
        <v>8.9136847505450909E-2</v>
      </c>
      <c r="Y165" s="23"/>
      <c r="Z165" s="25"/>
      <c r="AA165" s="25">
        <f>BF89</f>
        <v>0.9687848383500558</v>
      </c>
    </row>
    <row r="166" spans="23:27" x14ac:dyDescent="0.25">
      <c r="W166" s="24" t="s">
        <v>30</v>
      </c>
      <c r="X166" s="25">
        <f>AJ125</f>
        <v>0.11738300976321397</v>
      </c>
      <c r="Y166" s="23"/>
      <c r="Z166" s="25"/>
      <c r="AA166" s="25">
        <f>BF117</f>
        <v>0.88396349413298558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4:BU173"/>
  <sheetViews>
    <sheetView topLeftCell="AF65" zoomScale="60" zoomScaleNormal="60" zoomScalePageLayoutView="90" workbookViewId="0">
      <selection activeCell="AK110" sqref="AK110"/>
    </sheetView>
  </sheetViews>
  <sheetFormatPr defaultColWidth="11.42578125" defaultRowHeight="15" x14ac:dyDescent="0.25"/>
  <cols>
    <col min="8" max="8" width="17.42578125" customWidth="1"/>
    <col min="9" max="9" width="21.7109375" customWidth="1"/>
    <col min="10" max="10" width="15.7109375" customWidth="1"/>
    <col min="11" max="11" width="16.85546875" customWidth="1"/>
    <col min="12" max="12" width="15.28515625" customWidth="1"/>
    <col min="13" max="13" width="15.140625" customWidth="1"/>
    <col min="20" max="20" width="12.140625" bestFit="1" customWidth="1"/>
    <col min="23" max="23" width="12.140625" bestFit="1" customWidth="1"/>
    <col min="28" max="28" width="11.42578125" customWidth="1"/>
    <col min="29" max="29" width="16.28515625" customWidth="1"/>
    <col min="30" max="30" width="17.140625" customWidth="1"/>
    <col min="31" max="31" width="13.7109375" customWidth="1"/>
    <col min="32" max="32" width="18.28515625" customWidth="1"/>
    <col min="33" max="33" width="17.42578125" customWidth="1"/>
    <col min="34" max="35" width="19.42578125" customWidth="1"/>
    <col min="36" max="36" width="11.7109375" customWidth="1"/>
    <col min="37" max="37" width="20" customWidth="1"/>
    <col min="52" max="52" width="17.140625" customWidth="1"/>
    <col min="53" max="53" width="15.7109375" customWidth="1"/>
    <col min="54" max="54" width="19.85546875" customWidth="1"/>
    <col min="55" max="55" width="17.42578125" customWidth="1"/>
    <col min="56" max="56" width="18.42578125" customWidth="1"/>
    <col min="58" max="58" width="20.7109375" customWidth="1"/>
  </cols>
  <sheetData>
    <row r="4" spans="7:73" x14ac:dyDescent="0.25">
      <c r="O4" s="10" t="s">
        <v>18</v>
      </c>
    </row>
    <row r="5" spans="7:73" x14ac:dyDescent="0.25">
      <c r="O5" s="11">
        <f>14.5</f>
        <v>14.5</v>
      </c>
    </row>
    <row r="6" spans="7:73" x14ac:dyDescent="0.25">
      <c r="O6" s="11">
        <v>9.5</v>
      </c>
      <c r="BL6" s="2" t="s">
        <v>11</v>
      </c>
      <c r="BN6" s="3"/>
      <c r="BP6" s="2"/>
      <c r="BQ6" s="4" t="s">
        <v>12</v>
      </c>
      <c r="BR6" s="3"/>
      <c r="BT6" s="5"/>
    </row>
    <row r="7" spans="7:73" x14ac:dyDescent="0.25">
      <c r="O7" s="11">
        <f>O5*O6</f>
        <v>137.75</v>
      </c>
      <c r="BL7" s="3"/>
      <c r="BN7" s="3"/>
      <c r="BP7" s="3"/>
      <c r="BR7" s="3"/>
      <c r="BT7" s="3"/>
    </row>
    <row r="8" spans="7:73" x14ac:dyDescent="0.25">
      <c r="O8" s="12">
        <f>O7*10^-4</f>
        <v>1.3775000000000001E-2</v>
      </c>
      <c r="BL8" s="3"/>
      <c r="BN8" s="3"/>
      <c r="BP8" s="3"/>
      <c r="BR8" s="3"/>
      <c r="BT8" s="3"/>
    </row>
    <row r="9" spans="7:73" x14ac:dyDescent="0.25">
      <c r="BL9" s="6" t="s">
        <v>13</v>
      </c>
      <c r="BM9" s="7" t="s">
        <v>14</v>
      </c>
      <c r="BN9" s="6" t="s">
        <v>13</v>
      </c>
      <c r="BO9" s="7" t="s">
        <v>14</v>
      </c>
      <c r="BP9" s="6" t="s">
        <v>13</v>
      </c>
      <c r="BQ9" s="7" t="s">
        <v>14</v>
      </c>
      <c r="BR9" s="6" t="s">
        <v>13</v>
      </c>
      <c r="BS9" s="7" t="s">
        <v>14</v>
      </c>
      <c r="BT9" s="6" t="s">
        <v>13</v>
      </c>
      <c r="BU9" s="7" t="s">
        <v>14</v>
      </c>
    </row>
    <row r="10" spans="7:73" x14ac:dyDescent="0.25">
      <c r="BL10" s="6">
        <f>10</f>
        <v>10</v>
      </c>
      <c r="BM10" s="8">
        <v>1.7110000000000001</v>
      </c>
      <c r="BN10" s="6">
        <v>14</v>
      </c>
      <c r="BO10" s="9">
        <v>1.4750000000000001</v>
      </c>
      <c r="BP10" s="6">
        <v>18</v>
      </c>
      <c r="BQ10" s="9">
        <v>1.276</v>
      </c>
      <c r="BR10" s="6">
        <v>22</v>
      </c>
      <c r="BS10" s="9">
        <v>1.109</v>
      </c>
      <c r="BT10" s="6">
        <v>26</v>
      </c>
      <c r="BU10" s="9">
        <v>0.97099999999999997</v>
      </c>
    </row>
    <row r="11" spans="7:73" x14ac:dyDescent="0.25">
      <c r="BL11" s="6">
        <f>10.1</f>
        <v>10.1</v>
      </c>
      <c r="BM11" s="9">
        <v>1.7050000000000001</v>
      </c>
      <c r="BN11" s="6">
        <v>14.1</v>
      </c>
      <c r="BO11" s="9">
        <v>1.4690000000000001</v>
      </c>
      <c r="BP11" s="6">
        <v>18.100000000000001</v>
      </c>
      <c r="BQ11" s="9">
        <v>1.272</v>
      </c>
      <c r="BR11" s="6">
        <v>22.1</v>
      </c>
      <c r="BS11" s="9">
        <v>1.105</v>
      </c>
      <c r="BT11" s="6">
        <v>26.1</v>
      </c>
      <c r="BU11" s="9">
        <v>0.96799999999999997</v>
      </c>
    </row>
    <row r="12" spans="7:73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L12" s="6">
        <f>10.2</f>
        <v>10.199999999999999</v>
      </c>
      <c r="BM12" s="9">
        <v>1.698</v>
      </c>
      <c r="BN12" s="6">
        <v>14.2</v>
      </c>
      <c r="BO12" s="9">
        <v>1.464</v>
      </c>
      <c r="BP12" s="6">
        <v>18.2</v>
      </c>
      <c r="BQ12" s="9">
        <v>1.2669999999999999</v>
      </c>
      <c r="BR12" s="6">
        <v>22.2</v>
      </c>
      <c r="BS12" s="9">
        <v>1.101</v>
      </c>
      <c r="BT12" s="6">
        <v>26.2</v>
      </c>
      <c r="BU12" s="9">
        <v>0.96499999999999997</v>
      </c>
    </row>
    <row r="13" spans="7:73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20" t="s">
        <v>33</v>
      </c>
      <c r="AJ13" s="13" t="s">
        <v>23</v>
      </c>
      <c r="AK13" s="22" t="s">
        <v>23</v>
      </c>
      <c r="AX13" t="s">
        <v>0</v>
      </c>
      <c r="AY13" t="s">
        <v>1</v>
      </c>
      <c r="AZ13" t="s">
        <v>2</v>
      </c>
      <c r="BA13" s="17" t="s">
        <v>3</v>
      </c>
      <c r="BB13" s="13" t="s">
        <v>15</v>
      </c>
      <c r="BC13" s="13" t="s">
        <v>16</v>
      </c>
      <c r="BD13" s="13" t="s">
        <v>17</v>
      </c>
      <c r="BE13" s="13" t="s">
        <v>24</v>
      </c>
      <c r="BF13" s="22" t="s">
        <v>24</v>
      </c>
      <c r="BL13" s="6">
        <f>10.3</f>
        <v>10.3</v>
      </c>
      <c r="BM13" s="9">
        <v>1.6919999999999999</v>
      </c>
      <c r="BN13" s="6">
        <v>14.3</v>
      </c>
      <c r="BO13" s="9">
        <v>1.4590000000000001</v>
      </c>
      <c r="BP13" s="6">
        <v>18.3</v>
      </c>
      <c r="BQ13" s="9">
        <v>1.262</v>
      </c>
      <c r="BR13" s="6">
        <v>22.3</v>
      </c>
      <c r="BS13" s="9">
        <v>1.097</v>
      </c>
      <c r="BT13" s="6">
        <v>26.3</v>
      </c>
      <c r="BU13" s="9">
        <v>0.96199999999999997</v>
      </c>
    </row>
    <row r="14" spans="7:73" x14ac:dyDescent="0.25">
      <c r="G14">
        <v>0</v>
      </c>
      <c r="H14">
        <f>15</f>
        <v>15</v>
      </c>
      <c r="I14">
        <v>7.2</v>
      </c>
      <c r="J14">
        <f t="shared" ref="J14:J26" si="0">I14*10^-3</f>
        <v>7.2000000000000007E-3</v>
      </c>
      <c r="K14">
        <f t="shared" ref="K14:K26" si="1">H14/3600</f>
        <v>4.1666666666666666E-3</v>
      </c>
      <c r="L14">
        <f t="shared" ref="L14:L26" si="2">J14/K14</f>
        <v>1.7280000000000002</v>
      </c>
      <c r="M14">
        <f t="shared" ref="M14:M26" si="3">J14/(K14*$O$8)</f>
        <v>125.44464609800363</v>
      </c>
      <c r="S14">
        <v>0</v>
      </c>
      <c r="T14">
        <f>9.74*10^3</f>
        <v>9740</v>
      </c>
      <c r="U14">
        <f>6.6</f>
        <v>6.6</v>
      </c>
      <c r="V14" s="15">
        <f>22.8</f>
        <v>22.8</v>
      </c>
      <c r="W14">
        <f>10.09*10^3</f>
        <v>10090</v>
      </c>
      <c r="X14">
        <f>6.86</f>
        <v>6.86</v>
      </c>
      <c r="Y14">
        <f>83.1</f>
        <v>83.1</v>
      </c>
      <c r="Z14">
        <f>0.045</f>
        <v>4.4999999999999998E-2</v>
      </c>
      <c r="AA14">
        <f>22.5</f>
        <v>22.5</v>
      </c>
      <c r="AB14">
        <v>2.9</v>
      </c>
      <c r="AC14">
        <f>15</f>
        <v>15</v>
      </c>
      <c r="AD14">
        <f t="shared" ref="AD14:AD22" si="4">AC14/3600</f>
        <v>4.1666666666666666E-3</v>
      </c>
      <c r="AE14">
        <f t="shared" ref="AE14:AE22" si="5">AB14*10^-3</f>
        <v>2.8999999999999998E-3</v>
      </c>
      <c r="AF14">
        <f t="shared" ref="AF14:AF22" si="6">AE14/AD14</f>
        <v>0.69599999999999995</v>
      </c>
      <c r="AG14">
        <f t="shared" ref="AG14:AG22" si="7">AE14/(AD14*$O$8)</f>
        <v>50.526315789473678</v>
      </c>
      <c r="AH14" s="15">
        <f>AG14*BS18</f>
        <v>54.467368421052626</v>
      </c>
      <c r="AI14" s="21">
        <f t="shared" ref="AI14:AI22" si="8">AH14/$AH$14</f>
        <v>1</v>
      </c>
      <c r="AJ14" s="18">
        <f t="shared" ref="AJ14:AJ22" si="9">($AH$14-AH14)/$AH$14</f>
        <v>0</v>
      </c>
      <c r="AK14" s="18">
        <f>(AH14-AH22)/AH14</f>
        <v>0.26530612244897978</v>
      </c>
      <c r="AX14">
        <v>0</v>
      </c>
      <c r="AY14">
        <f>15</f>
        <v>15</v>
      </c>
      <c r="AZ14">
        <f>4</f>
        <v>4</v>
      </c>
      <c r="BA14">
        <f t="shared" ref="BA14:BA26" si="10">AZ14*10^-3</f>
        <v>4.0000000000000001E-3</v>
      </c>
      <c r="BB14">
        <f t="shared" ref="BB14:BB26" si="11">AY14/3600</f>
        <v>4.1666666666666666E-3</v>
      </c>
      <c r="BC14">
        <f t="shared" ref="BC14:BC26" si="12">BA14/BB14</f>
        <v>0.96000000000000008</v>
      </c>
      <c r="BD14">
        <f t="shared" ref="BD14:BD26" si="13">BA14/(BB14*$O$8)</f>
        <v>69.691470054446455</v>
      </c>
      <c r="BE14" s="18">
        <f t="shared" ref="BE14:BE26" si="14">(BD14/M14)</f>
        <v>0.55555555555555547</v>
      </c>
      <c r="BF14" s="18">
        <f>BD27/M27</f>
        <v>0.55819477434679332</v>
      </c>
      <c r="BL14" s="6">
        <f>10.4</f>
        <v>10.4</v>
      </c>
      <c r="BM14" s="9">
        <v>1.6859999999999999</v>
      </c>
      <c r="BN14" s="6">
        <v>14.4</v>
      </c>
      <c r="BO14" s="9">
        <v>1.4530000000000001</v>
      </c>
      <c r="BP14" s="6">
        <v>18.399999999999999</v>
      </c>
      <c r="BQ14" s="9">
        <v>1.258</v>
      </c>
      <c r="BR14" s="6">
        <v>22.4</v>
      </c>
      <c r="BS14" s="9">
        <v>1.093</v>
      </c>
      <c r="BT14" s="6">
        <v>26.4</v>
      </c>
      <c r="BU14" s="9">
        <v>0.95899999999999996</v>
      </c>
    </row>
    <row r="15" spans="7:73" x14ac:dyDescent="0.25">
      <c r="G15">
        <v>10</v>
      </c>
      <c r="H15">
        <f>15</f>
        <v>15</v>
      </c>
      <c r="I15">
        <v>6.8</v>
      </c>
      <c r="J15">
        <f t="shared" si="0"/>
        <v>6.7999999999999996E-3</v>
      </c>
      <c r="K15">
        <f t="shared" si="1"/>
        <v>4.1666666666666666E-3</v>
      </c>
      <c r="L15">
        <f t="shared" si="2"/>
        <v>1.6319999999999999</v>
      </c>
      <c r="M15">
        <f t="shared" si="3"/>
        <v>118.47549909255896</v>
      </c>
      <c r="S15">
        <v>30</v>
      </c>
      <c r="T15">
        <f>10.48*10^3</f>
        <v>10480</v>
      </c>
      <c r="U15">
        <f>6.9</f>
        <v>6.9</v>
      </c>
      <c r="V15" s="15">
        <f>24.3</f>
        <v>24.3</v>
      </c>
      <c r="W15">
        <f>10.59*10^3</f>
        <v>10590</v>
      </c>
      <c r="X15">
        <f>6.89</f>
        <v>6.89</v>
      </c>
      <c r="Y15">
        <f>114.6</f>
        <v>114.6</v>
      </c>
      <c r="Z15">
        <f>0.0781</f>
        <v>7.8100000000000003E-2</v>
      </c>
      <c r="AA15">
        <f>22.9</f>
        <v>22.9</v>
      </c>
      <c r="AB15">
        <f>2.8</f>
        <v>2.8</v>
      </c>
      <c r="AC15">
        <f>15</f>
        <v>15</v>
      </c>
      <c r="AD15">
        <f t="shared" si="4"/>
        <v>4.1666666666666666E-3</v>
      </c>
      <c r="AE15">
        <f t="shared" si="5"/>
        <v>2.8E-3</v>
      </c>
      <c r="AF15">
        <f t="shared" si="6"/>
        <v>0.67200000000000004</v>
      </c>
      <c r="AG15">
        <f t="shared" si="7"/>
        <v>48.784029038112521</v>
      </c>
      <c r="AH15" s="15">
        <f>AG15*BS33</f>
        <v>49.95484573502722</v>
      </c>
      <c r="AI15" s="21">
        <f t="shared" si="8"/>
        <v>0.91715181370353782</v>
      </c>
      <c r="AJ15" s="18">
        <f t="shared" si="9"/>
        <v>8.2848186296462123E-2</v>
      </c>
      <c r="AX15">
        <v>10</v>
      </c>
      <c r="AY15">
        <f>15</f>
        <v>15</v>
      </c>
      <c r="AZ15">
        <f>4.2</f>
        <v>4.2</v>
      </c>
      <c r="BA15">
        <f t="shared" si="10"/>
        <v>4.2000000000000006E-3</v>
      </c>
      <c r="BB15">
        <f t="shared" si="11"/>
        <v>4.1666666666666666E-3</v>
      </c>
      <c r="BC15">
        <f t="shared" si="12"/>
        <v>1.0080000000000002</v>
      </c>
      <c r="BD15">
        <f t="shared" si="13"/>
        <v>73.176043557168796</v>
      </c>
      <c r="BE15" s="18">
        <f t="shared" si="14"/>
        <v>0.61764705882352966</v>
      </c>
      <c r="BL15" s="6">
        <v>10.5</v>
      </c>
      <c r="BM15" s="9">
        <v>1.679</v>
      </c>
      <c r="BN15" s="6">
        <v>14.5</v>
      </c>
      <c r="BO15" s="9">
        <v>1.448</v>
      </c>
      <c r="BP15" s="6">
        <v>18.5</v>
      </c>
      <c r="BQ15" s="9">
        <v>1.254</v>
      </c>
      <c r="BR15" s="6">
        <v>22.5</v>
      </c>
      <c r="BS15" s="9">
        <v>1.0900000000000001</v>
      </c>
      <c r="BT15" s="6">
        <v>26.5</v>
      </c>
      <c r="BU15" s="9">
        <v>0.95699999999999996</v>
      </c>
    </row>
    <row r="16" spans="7:73" x14ac:dyDescent="0.25">
      <c r="G16">
        <v>20</v>
      </c>
      <c r="H16">
        <f>15</f>
        <v>15</v>
      </c>
      <c r="I16">
        <v>6.6</v>
      </c>
      <c r="J16">
        <f t="shared" si="0"/>
        <v>6.6E-3</v>
      </c>
      <c r="K16">
        <f t="shared" si="1"/>
        <v>4.1666666666666666E-3</v>
      </c>
      <c r="L16">
        <f t="shared" si="2"/>
        <v>1.5840000000000001</v>
      </c>
      <c r="M16">
        <f t="shared" si="3"/>
        <v>114.99092558983665</v>
      </c>
      <c r="S16">
        <v>60</v>
      </c>
      <c r="T16">
        <f>10.55*10^3</f>
        <v>10550</v>
      </c>
      <c r="U16">
        <f>6.8</f>
        <v>6.8</v>
      </c>
      <c r="V16" s="15">
        <f>25.2</f>
        <v>25.2</v>
      </c>
      <c r="W16">
        <f>10.83*10^3</f>
        <v>10830</v>
      </c>
      <c r="X16">
        <f>7</f>
        <v>7</v>
      </c>
      <c r="Y16">
        <f>134.5</f>
        <v>134.5</v>
      </c>
      <c r="Z16">
        <f>0.0906</f>
        <v>9.06E-2</v>
      </c>
      <c r="AA16">
        <f>23</f>
        <v>23</v>
      </c>
      <c r="AB16">
        <f>2.4</f>
        <v>2.4</v>
      </c>
      <c r="AC16">
        <f>15</f>
        <v>15</v>
      </c>
      <c r="AD16">
        <f t="shared" si="4"/>
        <v>4.1666666666666666E-3</v>
      </c>
      <c r="AE16">
        <f t="shared" si="5"/>
        <v>2.3999999999999998E-3</v>
      </c>
      <c r="AF16">
        <f t="shared" si="6"/>
        <v>0.57599999999999996</v>
      </c>
      <c r="AG16">
        <f t="shared" si="7"/>
        <v>41.814882032667867</v>
      </c>
      <c r="AH16" s="15">
        <f>AG16*BS42</f>
        <v>41.563992740471861</v>
      </c>
      <c r="AI16" s="21">
        <f t="shared" si="8"/>
        <v>0.76309896999552163</v>
      </c>
      <c r="AJ16" s="18">
        <f t="shared" si="9"/>
        <v>0.23690103000447837</v>
      </c>
      <c r="AX16">
        <v>20</v>
      </c>
      <c r="AY16">
        <f>15</f>
        <v>15</v>
      </c>
      <c r="AZ16">
        <f>4</f>
        <v>4</v>
      </c>
      <c r="BA16">
        <f t="shared" si="10"/>
        <v>4.0000000000000001E-3</v>
      </c>
      <c r="BB16">
        <f t="shared" si="11"/>
        <v>4.1666666666666666E-3</v>
      </c>
      <c r="BC16">
        <f t="shared" si="12"/>
        <v>0.96000000000000008</v>
      </c>
      <c r="BD16">
        <f t="shared" si="13"/>
        <v>69.691470054446455</v>
      </c>
      <c r="BE16" s="18">
        <f t="shared" si="14"/>
        <v>0.60606060606060608</v>
      </c>
      <c r="BL16" s="6">
        <v>10.6</v>
      </c>
      <c r="BM16" s="9">
        <v>1.673</v>
      </c>
      <c r="BN16" s="6">
        <v>14.6</v>
      </c>
      <c r="BO16" s="9">
        <v>1.4430000000000001</v>
      </c>
      <c r="BP16" s="6">
        <v>18.600000000000001</v>
      </c>
      <c r="BQ16" s="9">
        <v>1.2490000000000001</v>
      </c>
      <c r="BR16" s="6">
        <v>22.6</v>
      </c>
      <c r="BS16" s="9">
        <v>1.0860000000000001</v>
      </c>
      <c r="BT16" s="6">
        <v>26.6</v>
      </c>
      <c r="BU16" s="9">
        <v>0.95399999999999996</v>
      </c>
    </row>
    <row r="17" spans="7:73" x14ac:dyDescent="0.25">
      <c r="G17">
        <v>30</v>
      </c>
      <c r="H17">
        <f>15</f>
        <v>15</v>
      </c>
      <c r="I17">
        <v>6.8</v>
      </c>
      <c r="J17">
        <f t="shared" si="0"/>
        <v>6.7999999999999996E-3</v>
      </c>
      <c r="K17">
        <f t="shared" si="1"/>
        <v>4.1666666666666666E-3</v>
      </c>
      <c r="L17">
        <f t="shared" si="2"/>
        <v>1.6319999999999999</v>
      </c>
      <c r="M17">
        <f t="shared" si="3"/>
        <v>118.47549909255896</v>
      </c>
      <c r="S17">
        <v>90</v>
      </c>
      <c r="T17">
        <f>10.63*10^3</f>
        <v>10630</v>
      </c>
      <c r="U17">
        <f>6.88</f>
        <v>6.88</v>
      </c>
      <c r="V17" s="15">
        <f>25.6</f>
        <v>25.6</v>
      </c>
      <c r="W17">
        <f>11.11*10^3</f>
        <v>11110</v>
      </c>
      <c r="X17">
        <f>6.93</f>
        <v>6.93</v>
      </c>
      <c r="Y17">
        <f>178.3</f>
        <v>178.3</v>
      </c>
      <c r="Z17">
        <f>0.1198</f>
        <v>0.1198</v>
      </c>
      <c r="AA17">
        <f>24</f>
        <v>24</v>
      </c>
      <c r="AB17">
        <v>2.5</v>
      </c>
      <c r="AC17">
        <f>15</f>
        <v>15</v>
      </c>
      <c r="AD17">
        <f t="shared" si="4"/>
        <v>4.1666666666666666E-3</v>
      </c>
      <c r="AE17">
        <f t="shared" si="5"/>
        <v>2.5000000000000001E-3</v>
      </c>
      <c r="AF17">
        <f t="shared" si="6"/>
        <v>0.6</v>
      </c>
      <c r="AG17">
        <f t="shared" si="7"/>
        <v>43.557168784029038</v>
      </c>
      <c r="AH17" s="15">
        <f>AG17*BS46</f>
        <v>42.773139745916517</v>
      </c>
      <c r="AI17" s="21">
        <f t="shared" si="8"/>
        <v>0.78529844539696769</v>
      </c>
      <c r="AJ17" s="18">
        <f t="shared" si="9"/>
        <v>0.21470155460303234</v>
      </c>
      <c r="AX17">
        <v>30</v>
      </c>
      <c r="AY17">
        <f>15</f>
        <v>15</v>
      </c>
      <c r="AZ17">
        <f>3.6</f>
        <v>3.6</v>
      </c>
      <c r="BA17">
        <f t="shared" si="10"/>
        <v>3.6000000000000003E-3</v>
      </c>
      <c r="BB17">
        <f t="shared" si="11"/>
        <v>4.1666666666666666E-3</v>
      </c>
      <c r="BC17">
        <f t="shared" si="12"/>
        <v>0.8640000000000001</v>
      </c>
      <c r="BD17">
        <f t="shared" si="13"/>
        <v>62.722323049001815</v>
      </c>
      <c r="BE17" s="18">
        <f t="shared" si="14"/>
        <v>0.52941176470588247</v>
      </c>
      <c r="BL17" s="6">
        <v>10.7</v>
      </c>
      <c r="BM17" s="9">
        <v>1.667</v>
      </c>
      <c r="BN17" s="6">
        <v>14.7</v>
      </c>
      <c r="BO17" s="9">
        <v>1.4370000000000001</v>
      </c>
      <c r="BP17" s="6">
        <v>18.7</v>
      </c>
      <c r="BQ17" s="9">
        <v>1.2450000000000001</v>
      </c>
      <c r="BR17" s="6">
        <v>22.7</v>
      </c>
      <c r="BS17" s="9">
        <v>1.0820000000000001</v>
      </c>
      <c r="BT17" s="6">
        <v>26.7</v>
      </c>
      <c r="BU17" s="9">
        <v>0.95099999999999996</v>
      </c>
    </row>
    <row r="18" spans="7:73" x14ac:dyDescent="0.25">
      <c r="G18">
        <v>40</v>
      </c>
      <c r="H18">
        <f>15</f>
        <v>15</v>
      </c>
      <c r="I18">
        <v>6.6</v>
      </c>
      <c r="J18">
        <f t="shared" si="0"/>
        <v>6.6E-3</v>
      </c>
      <c r="K18">
        <f t="shared" si="1"/>
        <v>4.1666666666666666E-3</v>
      </c>
      <c r="L18">
        <f t="shared" si="2"/>
        <v>1.5840000000000001</v>
      </c>
      <c r="M18">
        <f t="shared" si="3"/>
        <v>114.99092558983665</v>
      </c>
      <c r="S18">
        <v>120</v>
      </c>
      <c r="T18">
        <f>10.74*10^3</f>
        <v>10740</v>
      </c>
      <c r="U18">
        <f>6.89</f>
        <v>6.89</v>
      </c>
      <c r="V18" s="15">
        <f>26.1</f>
        <v>26.1</v>
      </c>
      <c r="W18">
        <f>11.25*10^3</f>
        <v>11250</v>
      </c>
      <c r="X18">
        <f>6.95</f>
        <v>6.95</v>
      </c>
      <c r="Y18">
        <f>174.9</f>
        <v>174.9</v>
      </c>
      <c r="Z18">
        <f>0.1153</f>
        <v>0.1153</v>
      </c>
      <c r="AA18">
        <f>24.2</f>
        <v>24.2</v>
      </c>
      <c r="AB18">
        <f>2.6</f>
        <v>2.6</v>
      </c>
      <c r="AC18">
        <f>15</f>
        <v>15</v>
      </c>
      <c r="AD18">
        <f t="shared" si="4"/>
        <v>4.1666666666666666E-3</v>
      </c>
      <c r="AE18">
        <f t="shared" si="5"/>
        <v>2.6000000000000003E-3</v>
      </c>
      <c r="AF18">
        <f t="shared" si="6"/>
        <v>0.62400000000000011</v>
      </c>
      <c r="AG18">
        <f t="shared" si="7"/>
        <v>45.299455535390202</v>
      </c>
      <c r="AH18" s="15">
        <f>AG18*BU11</f>
        <v>43.849872958257713</v>
      </c>
      <c r="AI18" s="21">
        <f t="shared" si="8"/>
        <v>0.80506685432793812</v>
      </c>
      <c r="AJ18" s="18">
        <f t="shared" si="9"/>
        <v>0.19493314567206185</v>
      </c>
      <c r="AX18">
        <v>40</v>
      </c>
      <c r="AY18">
        <f>15</f>
        <v>15</v>
      </c>
      <c r="AZ18">
        <f>3.8</f>
        <v>3.8</v>
      </c>
      <c r="BA18">
        <f t="shared" si="10"/>
        <v>3.8E-3</v>
      </c>
      <c r="BB18">
        <f t="shared" si="11"/>
        <v>4.1666666666666666E-3</v>
      </c>
      <c r="BC18">
        <f t="shared" si="12"/>
        <v>0.91200000000000003</v>
      </c>
      <c r="BD18">
        <f t="shared" si="13"/>
        <v>66.206896551724128</v>
      </c>
      <c r="BE18" s="18">
        <f t="shared" si="14"/>
        <v>0.57575757575757569</v>
      </c>
      <c r="BL18" s="6">
        <v>10.8</v>
      </c>
      <c r="BM18" s="9">
        <v>1.66</v>
      </c>
      <c r="BN18" s="6">
        <v>14.8</v>
      </c>
      <c r="BO18" s="9">
        <v>1.4319999999999999</v>
      </c>
      <c r="BP18" s="6">
        <v>18.8</v>
      </c>
      <c r="BQ18" s="9">
        <v>1.24</v>
      </c>
      <c r="BR18" s="6">
        <v>22.8</v>
      </c>
      <c r="BS18" s="9">
        <v>1.0780000000000001</v>
      </c>
      <c r="BT18" s="6">
        <v>26.8</v>
      </c>
      <c r="BU18" s="9">
        <v>0.94799999999999995</v>
      </c>
    </row>
    <row r="19" spans="7:73" x14ac:dyDescent="0.25">
      <c r="G19">
        <v>50</v>
      </c>
      <c r="H19">
        <f>15</f>
        <v>15</v>
      </c>
      <c r="I19">
        <v>6.6</v>
      </c>
      <c r="J19">
        <f t="shared" si="0"/>
        <v>6.6E-3</v>
      </c>
      <c r="K19">
        <f t="shared" si="1"/>
        <v>4.1666666666666666E-3</v>
      </c>
      <c r="L19">
        <f t="shared" si="2"/>
        <v>1.5840000000000001</v>
      </c>
      <c r="M19">
        <f t="shared" si="3"/>
        <v>114.99092558983665</v>
      </c>
      <c r="S19">
        <v>150</v>
      </c>
      <c r="T19">
        <f>11.2*10^3</f>
        <v>11200</v>
      </c>
      <c r="U19">
        <f>7.1</f>
        <v>7.1</v>
      </c>
      <c r="V19" s="15">
        <f>26.3</f>
        <v>26.3</v>
      </c>
      <c r="W19">
        <f>11.42*10^3</f>
        <v>11420</v>
      </c>
      <c r="X19">
        <f>6.94</f>
        <v>6.94</v>
      </c>
      <c r="Y19">
        <f>180.2</f>
        <v>180.2</v>
      </c>
      <c r="Z19">
        <f>0.1185</f>
        <v>0.11849999999999999</v>
      </c>
      <c r="AA19">
        <v>24.2</v>
      </c>
      <c r="AB19">
        <f>2.4</f>
        <v>2.4</v>
      </c>
      <c r="AC19">
        <f>15</f>
        <v>15</v>
      </c>
      <c r="AD19">
        <f t="shared" si="4"/>
        <v>4.1666666666666666E-3</v>
      </c>
      <c r="AE19">
        <f t="shared" si="5"/>
        <v>2.3999999999999998E-3</v>
      </c>
      <c r="AF19">
        <f t="shared" si="6"/>
        <v>0.57599999999999996</v>
      </c>
      <c r="AG19">
        <f t="shared" si="7"/>
        <v>41.814882032667867</v>
      </c>
      <c r="AH19" s="15">
        <f>AG19*BU13</f>
        <v>40.225916515426483</v>
      </c>
      <c r="AI19" s="21">
        <f t="shared" si="8"/>
        <v>0.73853240355703387</v>
      </c>
      <c r="AJ19" s="18">
        <f t="shared" si="9"/>
        <v>0.26146759644296608</v>
      </c>
      <c r="AX19">
        <v>50</v>
      </c>
      <c r="AY19">
        <f>15</f>
        <v>15</v>
      </c>
      <c r="AZ19">
        <f>3.8</f>
        <v>3.8</v>
      </c>
      <c r="BA19">
        <f t="shared" si="10"/>
        <v>3.8E-3</v>
      </c>
      <c r="BB19">
        <f t="shared" si="11"/>
        <v>4.1666666666666666E-3</v>
      </c>
      <c r="BC19">
        <f t="shared" si="12"/>
        <v>0.91200000000000003</v>
      </c>
      <c r="BD19">
        <f t="shared" si="13"/>
        <v>66.206896551724128</v>
      </c>
      <c r="BE19" s="18">
        <f t="shared" si="14"/>
        <v>0.57575757575757569</v>
      </c>
      <c r="BL19" s="6">
        <v>10.9</v>
      </c>
      <c r="BM19" s="9">
        <v>1.6539999999999999</v>
      </c>
      <c r="BN19" s="6">
        <v>14.9</v>
      </c>
      <c r="BO19" s="9">
        <v>1.427</v>
      </c>
      <c r="BP19" s="6">
        <v>18.899999999999999</v>
      </c>
      <c r="BQ19" s="9">
        <v>1.236</v>
      </c>
      <c r="BR19" s="6">
        <v>22.9</v>
      </c>
      <c r="BS19" s="9">
        <v>1.075</v>
      </c>
      <c r="BT19" s="6">
        <v>26.9</v>
      </c>
      <c r="BU19" s="9">
        <v>0.94499999999999995</v>
      </c>
    </row>
    <row r="20" spans="7:73" x14ac:dyDescent="0.25">
      <c r="G20">
        <v>60</v>
      </c>
      <c r="H20">
        <f>15</f>
        <v>15</v>
      </c>
      <c r="I20">
        <v>6.4</v>
      </c>
      <c r="J20">
        <f t="shared" si="0"/>
        <v>6.4000000000000003E-3</v>
      </c>
      <c r="K20">
        <f t="shared" si="1"/>
        <v>4.1666666666666666E-3</v>
      </c>
      <c r="L20">
        <f t="shared" si="2"/>
        <v>1.536</v>
      </c>
      <c r="M20">
        <f t="shared" si="3"/>
        <v>111.50635208711434</v>
      </c>
      <c r="S20">
        <v>180</v>
      </c>
      <c r="T20">
        <f>11.03*10^3</f>
        <v>11030</v>
      </c>
      <c r="U20">
        <f>6.94</f>
        <v>6.94</v>
      </c>
      <c r="V20" s="15">
        <f>26.6</f>
        <v>26.6</v>
      </c>
      <c r="W20">
        <f>11.4*10^3</f>
        <v>11400</v>
      </c>
      <c r="X20">
        <f>6.94</f>
        <v>6.94</v>
      </c>
      <c r="Y20">
        <f>205</f>
        <v>205</v>
      </c>
      <c r="Z20">
        <f>0.1343</f>
        <v>0.1343</v>
      </c>
      <c r="AA20">
        <v>24.4</v>
      </c>
      <c r="AB20">
        <f>2.6</f>
        <v>2.6</v>
      </c>
      <c r="AC20">
        <f>15</f>
        <v>15</v>
      </c>
      <c r="AD20">
        <f t="shared" si="4"/>
        <v>4.1666666666666666E-3</v>
      </c>
      <c r="AE20">
        <f t="shared" si="5"/>
        <v>2.6000000000000003E-3</v>
      </c>
      <c r="AF20">
        <f t="shared" si="6"/>
        <v>0.62400000000000011</v>
      </c>
      <c r="AG20">
        <f t="shared" si="7"/>
        <v>45.299455535390202</v>
      </c>
      <c r="AH20" s="15">
        <f>AG20*BU16</f>
        <v>43.215680580762253</v>
      </c>
      <c r="AI20" s="21">
        <f t="shared" si="8"/>
        <v>0.79342332544302996</v>
      </c>
      <c r="AJ20" s="18">
        <f t="shared" si="9"/>
        <v>0.20657667455696999</v>
      </c>
      <c r="AX20">
        <v>60</v>
      </c>
      <c r="AY20">
        <f>15</f>
        <v>15</v>
      </c>
      <c r="AZ20">
        <f>3.4</f>
        <v>3.4</v>
      </c>
      <c r="BA20">
        <f t="shared" si="10"/>
        <v>3.3999999999999998E-3</v>
      </c>
      <c r="BB20">
        <f t="shared" si="11"/>
        <v>4.1666666666666666E-3</v>
      </c>
      <c r="BC20">
        <f t="shared" si="12"/>
        <v>0.81599999999999995</v>
      </c>
      <c r="BD20">
        <f t="shared" si="13"/>
        <v>59.237749546279481</v>
      </c>
      <c r="BE20" s="18">
        <f t="shared" si="14"/>
        <v>0.53124999999999989</v>
      </c>
      <c r="BL20" s="6">
        <v>11</v>
      </c>
      <c r="BM20" s="9">
        <v>1.6479999999999999</v>
      </c>
      <c r="BN20" s="6">
        <v>15</v>
      </c>
      <c r="BO20" s="9">
        <v>1.4219999999999999</v>
      </c>
      <c r="BP20" s="6">
        <v>19</v>
      </c>
      <c r="BQ20" s="9">
        <v>1.232</v>
      </c>
      <c r="BR20" s="6">
        <v>23</v>
      </c>
      <c r="BS20" s="9">
        <v>1.071</v>
      </c>
      <c r="BT20" s="6">
        <v>27</v>
      </c>
      <c r="BU20" s="9">
        <v>0.94299999999999995</v>
      </c>
    </row>
    <row r="21" spans="7:73" x14ac:dyDescent="0.25">
      <c r="G21">
        <v>70</v>
      </c>
      <c r="H21">
        <f>15</f>
        <v>15</v>
      </c>
      <c r="I21">
        <v>6.2</v>
      </c>
      <c r="J21">
        <f t="shared" si="0"/>
        <v>6.2000000000000006E-3</v>
      </c>
      <c r="K21">
        <f t="shared" si="1"/>
        <v>4.1666666666666666E-3</v>
      </c>
      <c r="L21">
        <f t="shared" si="2"/>
        <v>1.4880000000000002</v>
      </c>
      <c r="M21">
        <f t="shared" si="3"/>
        <v>108.02177858439202</v>
      </c>
      <c r="S21">
        <v>210</v>
      </c>
      <c r="T21">
        <f>11.46*10^3</f>
        <v>11460</v>
      </c>
      <c r="U21">
        <f>6.98</f>
        <v>6.98</v>
      </c>
      <c r="V21" s="15">
        <f>26.9</f>
        <v>26.9</v>
      </c>
      <c r="W21">
        <f>11.45*10^3</f>
        <v>11450</v>
      </c>
      <c r="X21">
        <f>7.13</f>
        <v>7.13</v>
      </c>
      <c r="Y21">
        <f>237.8</f>
        <v>237.8</v>
      </c>
      <c r="Z21">
        <f>0.0731</f>
        <v>7.3099999999999998E-2</v>
      </c>
      <c r="AA21">
        <v>24.3</v>
      </c>
      <c r="AB21">
        <v>2.2999999999999998</v>
      </c>
      <c r="AC21">
        <f>15</f>
        <v>15</v>
      </c>
      <c r="AD21">
        <f t="shared" si="4"/>
        <v>4.1666666666666666E-3</v>
      </c>
      <c r="AE21">
        <f t="shared" si="5"/>
        <v>2.3E-3</v>
      </c>
      <c r="AF21">
        <f t="shared" si="6"/>
        <v>0.55200000000000005</v>
      </c>
      <c r="AG21">
        <f t="shared" si="7"/>
        <v>40.072595281306711</v>
      </c>
      <c r="AH21" s="15">
        <f>AG21*BU19</f>
        <v>37.868602540834843</v>
      </c>
      <c r="AI21" s="21">
        <f t="shared" si="8"/>
        <v>0.69525302283922974</v>
      </c>
      <c r="AJ21" s="18">
        <f t="shared" si="9"/>
        <v>0.30474697716077026</v>
      </c>
      <c r="AX21">
        <v>70</v>
      </c>
      <c r="AY21">
        <f>15</f>
        <v>15</v>
      </c>
      <c r="AZ21">
        <f>3.8</f>
        <v>3.8</v>
      </c>
      <c r="BA21">
        <f t="shared" si="10"/>
        <v>3.8E-3</v>
      </c>
      <c r="BB21">
        <f t="shared" si="11"/>
        <v>4.1666666666666666E-3</v>
      </c>
      <c r="BC21">
        <f t="shared" si="12"/>
        <v>0.91200000000000003</v>
      </c>
      <c r="BD21">
        <f t="shared" si="13"/>
        <v>66.206896551724128</v>
      </c>
      <c r="BE21" s="18">
        <f t="shared" si="14"/>
        <v>0.61290322580645151</v>
      </c>
      <c r="BL21" s="6">
        <v>11.1</v>
      </c>
      <c r="BM21" s="9">
        <v>1.6419999999999999</v>
      </c>
      <c r="BN21" s="6">
        <v>15.1</v>
      </c>
      <c r="BO21" s="9">
        <v>1.417</v>
      </c>
      <c r="BP21" s="6">
        <v>19.100000000000001</v>
      </c>
      <c r="BQ21" s="9">
        <v>1.2270000000000001</v>
      </c>
      <c r="BR21" s="6">
        <v>23.1</v>
      </c>
      <c r="BS21" s="9">
        <v>1.0669999999999999</v>
      </c>
      <c r="BT21" s="6">
        <v>27.1</v>
      </c>
      <c r="BU21" s="9">
        <v>0.94</v>
      </c>
    </row>
    <row r="22" spans="7:73" x14ac:dyDescent="0.25">
      <c r="G22">
        <v>80</v>
      </c>
      <c r="H22">
        <f>15</f>
        <v>15</v>
      </c>
      <c r="I22">
        <v>6.1</v>
      </c>
      <c r="J22">
        <f t="shared" si="0"/>
        <v>6.0999999999999995E-3</v>
      </c>
      <c r="K22">
        <f t="shared" si="1"/>
        <v>4.1666666666666666E-3</v>
      </c>
      <c r="L22">
        <f t="shared" si="2"/>
        <v>1.464</v>
      </c>
      <c r="M22">
        <f t="shared" si="3"/>
        <v>106.27949183303083</v>
      </c>
      <c r="S22">
        <v>240</v>
      </c>
      <c r="T22">
        <f>10.8*10^3</f>
        <v>10800</v>
      </c>
      <c r="U22">
        <f>6.8</f>
        <v>6.8</v>
      </c>
      <c r="V22" s="15">
        <f>26.5</f>
        <v>26.5</v>
      </c>
      <c r="W22">
        <f>11.33*10^3</f>
        <v>11330</v>
      </c>
      <c r="X22">
        <f>7.04</f>
        <v>7.04</v>
      </c>
      <c r="Y22">
        <f>238.1</f>
        <v>238.1</v>
      </c>
      <c r="Z22">
        <f>0.0102</f>
        <v>1.0200000000000001E-2</v>
      </c>
      <c r="AA22">
        <v>23.8</v>
      </c>
      <c r="AB22">
        <v>2.4</v>
      </c>
      <c r="AC22">
        <f>15</f>
        <v>15</v>
      </c>
      <c r="AD22">
        <f t="shared" si="4"/>
        <v>4.1666666666666666E-3</v>
      </c>
      <c r="AE22">
        <f t="shared" si="5"/>
        <v>2.3999999999999998E-3</v>
      </c>
      <c r="AF22">
        <f t="shared" si="6"/>
        <v>0.57599999999999996</v>
      </c>
      <c r="AG22">
        <f t="shared" si="7"/>
        <v>41.814882032667867</v>
      </c>
      <c r="AH22" s="15">
        <f>AG22*BU15</f>
        <v>40.016842105263144</v>
      </c>
      <c r="AI22" s="21">
        <f t="shared" si="8"/>
        <v>0.73469387755102022</v>
      </c>
      <c r="AJ22" s="18">
        <f t="shared" si="9"/>
        <v>0.26530612244897978</v>
      </c>
      <c r="AX22">
        <v>80</v>
      </c>
      <c r="AY22">
        <f>15</f>
        <v>15</v>
      </c>
      <c r="AZ22">
        <f>3.6</f>
        <v>3.6</v>
      </c>
      <c r="BA22">
        <f t="shared" si="10"/>
        <v>3.6000000000000003E-3</v>
      </c>
      <c r="BB22">
        <f t="shared" si="11"/>
        <v>4.1666666666666666E-3</v>
      </c>
      <c r="BC22">
        <f t="shared" si="12"/>
        <v>0.8640000000000001</v>
      </c>
      <c r="BD22">
        <f t="shared" si="13"/>
        <v>62.722323049001815</v>
      </c>
      <c r="BE22" s="18">
        <f t="shared" si="14"/>
        <v>0.59016393442622961</v>
      </c>
      <c r="BL22" s="6">
        <v>11.2</v>
      </c>
      <c r="BM22" s="9">
        <v>1.6359999999999999</v>
      </c>
      <c r="BN22" s="6">
        <v>15.2</v>
      </c>
      <c r="BO22" s="9">
        <v>1.411</v>
      </c>
      <c r="BP22" s="6">
        <v>19.2</v>
      </c>
      <c r="BQ22" s="9">
        <v>1.2230000000000001</v>
      </c>
      <c r="BR22" s="6">
        <v>23.2</v>
      </c>
      <c r="BS22" s="9">
        <v>1.0640000000000001</v>
      </c>
      <c r="BT22" s="6">
        <v>27.2</v>
      </c>
      <c r="BU22" s="9">
        <v>0.93700000000000006</v>
      </c>
    </row>
    <row r="23" spans="7:73" x14ac:dyDescent="0.25">
      <c r="G23">
        <v>90</v>
      </c>
      <c r="H23">
        <v>15</v>
      </c>
      <c r="I23">
        <v>6.3</v>
      </c>
      <c r="J23">
        <f t="shared" si="0"/>
        <v>6.3E-3</v>
      </c>
      <c r="K23">
        <f t="shared" si="1"/>
        <v>4.1666666666666666E-3</v>
      </c>
      <c r="L23">
        <f t="shared" si="2"/>
        <v>1.512</v>
      </c>
      <c r="M23">
        <f t="shared" si="3"/>
        <v>109.76406533575317</v>
      </c>
      <c r="AG23" s="1">
        <f>AVERAGE(AG14:AG22)</f>
        <v>44.33151845130066</v>
      </c>
      <c r="AH23" s="16">
        <f>AVERAGE(AH14:AH22)</f>
        <v>43.770695704779186</v>
      </c>
      <c r="AI23" s="26"/>
      <c r="AJ23" s="19"/>
      <c r="AX23">
        <v>90</v>
      </c>
      <c r="AY23">
        <f>15</f>
        <v>15</v>
      </c>
      <c r="AZ23">
        <f>3.4</f>
        <v>3.4</v>
      </c>
      <c r="BA23">
        <f t="shared" si="10"/>
        <v>3.3999999999999998E-3</v>
      </c>
      <c r="BB23">
        <f t="shared" si="11"/>
        <v>4.1666666666666666E-3</v>
      </c>
      <c r="BC23">
        <f t="shared" si="12"/>
        <v>0.81599999999999995</v>
      </c>
      <c r="BD23">
        <f t="shared" si="13"/>
        <v>59.237749546279481</v>
      </c>
      <c r="BE23" s="18">
        <f t="shared" si="14"/>
        <v>0.53968253968253965</v>
      </c>
      <c r="BL23" s="6">
        <v>11.3</v>
      </c>
      <c r="BM23" s="9">
        <v>1.63</v>
      </c>
      <c r="BN23" s="6">
        <v>15.3</v>
      </c>
      <c r="BO23" s="9">
        <v>1.4059999999999999</v>
      </c>
      <c r="BP23" s="6">
        <v>19.3</v>
      </c>
      <c r="BQ23" s="9">
        <v>1.2190000000000001</v>
      </c>
      <c r="BR23" s="6">
        <v>23.3</v>
      </c>
      <c r="BS23" s="9">
        <v>1.06</v>
      </c>
      <c r="BT23" s="6">
        <v>27.3</v>
      </c>
      <c r="BU23" s="9">
        <v>0.93400000000000005</v>
      </c>
    </row>
    <row r="24" spans="7:73" x14ac:dyDescent="0.25">
      <c r="G24">
        <v>100</v>
      </c>
      <c r="H24">
        <v>15</v>
      </c>
      <c r="I24">
        <v>6.2</v>
      </c>
      <c r="J24">
        <f t="shared" si="0"/>
        <v>6.2000000000000006E-3</v>
      </c>
      <c r="K24">
        <f t="shared" si="1"/>
        <v>4.1666666666666666E-3</v>
      </c>
      <c r="L24">
        <f t="shared" si="2"/>
        <v>1.4880000000000002</v>
      </c>
      <c r="M24">
        <f t="shared" si="3"/>
        <v>108.02177858439202</v>
      </c>
      <c r="AX24">
        <v>100</v>
      </c>
      <c r="AY24">
        <f>15</f>
        <v>15</v>
      </c>
      <c r="AZ24">
        <f>3.2</f>
        <v>3.2</v>
      </c>
      <c r="BA24">
        <f t="shared" si="10"/>
        <v>3.2000000000000002E-3</v>
      </c>
      <c r="BB24">
        <f t="shared" si="11"/>
        <v>4.1666666666666666E-3</v>
      </c>
      <c r="BC24">
        <f t="shared" si="12"/>
        <v>0.76800000000000002</v>
      </c>
      <c r="BD24">
        <f t="shared" si="13"/>
        <v>55.753176043557168</v>
      </c>
      <c r="BE24" s="18">
        <f t="shared" si="14"/>
        <v>0.5161290322580645</v>
      </c>
      <c r="BL24" s="6">
        <v>11.4</v>
      </c>
      <c r="BM24" s="9">
        <v>1.6240000000000001</v>
      </c>
      <c r="BN24" s="6">
        <v>15.4</v>
      </c>
      <c r="BO24" s="9">
        <v>1.401</v>
      </c>
      <c r="BP24" s="6">
        <v>19.399999999999999</v>
      </c>
      <c r="BQ24" s="9">
        <v>1.214</v>
      </c>
      <c r="BR24" s="6">
        <v>23.4</v>
      </c>
      <c r="BS24" s="9">
        <v>1.056</v>
      </c>
      <c r="BT24" s="6">
        <v>27.4</v>
      </c>
      <c r="BU24" s="9">
        <v>0.93200000000000005</v>
      </c>
    </row>
    <row r="25" spans="7:73" x14ac:dyDescent="0.25">
      <c r="G25">
        <v>110</v>
      </c>
      <c r="H25">
        <v>15</v>
      </c>
      <c r="I25">
        <v>6.2</v>
      </c>
      <c r="J25">
        <f t="shared" si="0"/>
        <v>6.2000000000000006E-3</v>
      </c>
      <c r="K25">
        <f t="shared" si="1"/>
        <v>4.1666666666666666E-3</v>
      </c>
      <c r="L25">
        <f t="shared" si="2"/>
        <v>1.4880000000000002</v>
      </c>
      <c r="M25">
        <f t="shared" si="3"/>
        <v>108.02177858439202</v>
      </c>
      <c r="AX25">
        <v>110</v>
      </c>
      <c r="AY25">
        <f>15</f>
        <v>15</v>
      </c>
      <c r="AZ25">
        <f>3.2</f>
        <v>3.2</v>
      </c>
      <c r="BA25">
        <f t="shared" si="10"/>
        <v>3.2000000000000002E-3</v>
      </c>
      <c r="BB25">
        <f t="shared" si="11"/>
        <v>4.1666666666666666E-3</v>
      </c>
      <c r="BC25">
        <f t="shared" si="12"/>
        <v>0.76800000000000002</v>
      </c>
      <c r="BD25">
        <f t="shared" si="13"/>
        <v>55.753176043557168</v>
      </c>
      <c r="BE25" s="18">
        <f t="shared" si="14"/>
        <v>0.5161290322580645</v>
      </c>
      <c r="BL25" s="6">
        <v>11.5</v>
      </c>
      <c r="BM25" s="9">
        <v>1.6180000000000001</v>
      </c>
      <c r="BN25" s="6">
        <v>15.5</v>
      </c>
      <c r="BO25" s="9">
        <v>1.3959999999999999</v>
      </c>
      <c r="BP25" s="6">
        <v>19.5</v>
      </c>
      <c r="BQ25" s="9">
        <v>1.21</v>
      </c>
      <c r="BR25" s="6">
        <v>23.5</v>
      </c>
      <c r="BS25" s="9">
        <v>1.0529999999999999</v>
      </c>
      <c r="BT25" s="6">
        <v>27.5</v>
      </c>
      <c r="BU25" s="9">
        <v>0.92900000000000005</v>
      </c>
    </row>
    <row r="26" spans="7:73" x14ac:dyDescent="0.25">
      <c r="G26">
        <v>120</v>
      </c>
      <c r="H26">
        <v>15</v>
      </c>
      <c r="I26">
        <v>6.2</v>
      </c>
      <c r="J26">
        <f t="shared" si="0"/>
        <v>6.2000000000000006E-3</v>
      </c>
      <c r="K26">
        <f t="shared" si="1"/>
        <v>4.1666666666666666E-3</v>
      </c>
      <c r="L26">
        <f t="shared" si="2"/>
        <v>1.4880000000000002</v>
      </c>
      <c r="M26">
        <f t="shared" si="3"/>
        <v>108.02177858439202</v>
      </c>
      <c r="AX26">
        <v>120</v>
      </c>
      <c r="AY26">
        <f>15</f>
        <v>15</v>
      </c>
      <c r="AZ26">
        <f>3</f>
        <v>3</v>
      </c>
      <c r="BA26">
        <f t="shared" si="10"/>
        <v>3.0000000000000001E-3</v>
      </c>
      <c r="BB26">
        <f t="shared" si="11"/>
        <v>4.1666666666666666E-3</v>
      </c>
      <c r="BC26">
        <f t="shared" si="12"/>
        <v>0.72</v>
      </c>
      <c r="BD26">
        <f t="shared" si="13"/>
        <v>52.268602540834841</v>
      </c>
      <c r="BE26" s="18">
        <f t="shared" si="14"/>
        <v>0.48387096774193539</v>
      </c>
      <c r="BL26" s="6">
        <v>11.6</v>
      </c>
      <c r="BM26" s="9">
        <v>1.611</v>
      </c>
      <c r="BN26" s="6">
        <v>15.6</v>
      </c>
      <c r="BO26" s="9">
        <v>1.391</v>
      </c>
      <c r="BP26" s="6">
        <v>19.600000000000001</v>
      </c>
      <c r="BQ26" s="9">
        <v>1.206</v>
      </c>
      <c r="BR26" s="6">
        <v>23.6</v>
      </c>
      <c r="BS26" s="9">
        <v>1.0489999999999999</v>
      </c>
      <c r="BT26" s="6">
        <v>27.6</v>
      </c>
      <c r="BU26" s="9">
        <v>0.92600000000000005</v>
      </c>
    </row>
    <row r="27" spans="7:73" x14ac:dyDescent="0.25">
      <c r="M27" s="1">
        <f>AVERAGE(M14:M26)</f>
        <v>112.84657266508445</v>
      </c>
      <c r="BD27" s="1">
        <f>AVERAGE(BD14:BD26)</f>
        <v>62.990367164595831</v>
      </c>
      <c r="BE27" s="19"/>
      <c r="BL27" s="6">
        <v>11.7</v>
      </c>
      <c r="BM27" s="9">
        <v>1.605</v>
      </c>
      <c r="BN27" s="6">
        <v>15.7</v>
      </c>
      <c r="BO27" s="9">
        <v>1.3859999999999999</v>
      </c>
      <c r="BP27" s="6">
        <v>19.7</v>
      </c>
      <c r="BQ27" s="9">
        <v>1.2010000000000001</v>
      </c>
      <c r="BR27" s="6">
        <v>23.7</v>
      </c>
      <c r="BS27" s="9">
        <v>1.0449999999999999</v>
      </c>
      <c r="BT27" s="6">
        <v>27.7</v>
      </c>
      <c r="BU27" s="9">
        <v>0.92400000000000004</v>
      </c>
    </row>
    <row r="28" spans="7:73" x14ac:dyDescent="0.25">
      <c r="BL28" s="6">
        <v>11.8</v>
      </c>
      <c r="BM28" s="9">
        <v>1.6</v>
      </c>
      <c r="BN28" s="6">
        <v>15.8</v>
      </c>
      <c r="BO28" s="9">
        <v>1.381</v>
      </c>
      <c r="BP28" s="6">
        <v>19.8</v>
      </c>
      <c r="BQ28" s="9">
        <v>1.1970000000000001</v>
      </c>
      <c r="BR28" s="6">
        <v>23.8</v>
      </c>
      <c r="BS28" s="9">
        <v>1.042</v>
      </c>
      <c r="BT28" s="6">
        <v>27.8</v>
      </c>
      <c r="BU28" s="9">
        <v>0.92100000000000004</v>
      </c>
    </row>
    <row r="29" spans="7:73" x14ac:dyDescent="0.25">
      <c r="BL29" s="6">
        <v>11.9</v>
      </c>
      <c r="BM29" s="9">
        <v>1.5940000000000001</v>
      </c>
      <c r="BN29" s="6">
        <v>15.9</v>
      </c>
      <c r="BO29" s="9">
        <v>1.3759999999999999</v>
      </c>
      <c r="BP29" s="6">
        <v>19.899999999999999</v>
      </c>
      <c r="BQ29" s="9">
        <v>1.1930000000000001</v>
      </c>
      <c r="BR29" s="6">
        <v>23.9</v>
      </c>
      <c r="BS29" s="9">
        <v>1.038</v>
      </c>
      <c r="BT29" s="6">
        <v>27.9</v>
      </c>
      <c r="BU29" s="9">
        <v>0.91800000000000004</v>
      </c>
    </row>
    <row r="30" spans="7:73" x14ac:dyDescent="0.25">
      <c r="BL30" s="6">
        <v>12</v>
      </c>
      <c r="BM30" s="9">
        <v>1.5880000000000001</v>
      </c>
      <c r="BN30" s="6">
        <v>16</v>
      </c>
      <c r="BO30" s="9">
        <v>1.371</v>
      </c>
      <c r="BP30" s="6">
        <v>20</v>
      </c>
      <c r="BQ30" s="9">
        <v>1.1890000000000001</v>
      </c>
      <c r="BR30" s="6">
        <v>24</v>
      </c>
      <c r="BS30" s="9">
        <v>1.0349999999999999</v>
      </c>
      <c r="BT30" s="6">
        <v>28</v>
      </c>
      <c r="BU30" s="9">
        <v>0.91500000000000004</v>
      </c>
    </row>
    <row r="31" spans="7:73" x14ac:dyDescent="0.25">
      <c r="BL31" s="6">
        <v>12.1</v>
      </c>
      <c r="BM31" s="9">
        <v>1.5820000000000001</v>
      </c>
      <c r="BN31" s="6">
        <v>16.100000000000001</v>
      </c>
      <c r="BO31" s="9">
        <v>1.3660000000000001</v>
      </c>
      <c r="BP31" s="6">
        <v>20.100000000000001</v>
      </c>
      <c r="BQ31" s="9">
        <v>1.1850000000000001</v>
      </c>
      <c r="BR31" s="6">
        <v>24.1</v>
      </c>
      <c r="BS31" s="9">
        <v>1.0309999999999999</v>
      </c>
      <c r="BT31" s="6">
        <v>28.1</v>
      </c>
      <c r="BU31" s="9">
        <v>0.91300000000000003</v>
      </c>
    </row>
    <row r="32" spans="7:73" x14ac:dyDescent="0.25">
      <c r="BL32" s="6">
        <v>12.2</v>
      </c>
      <c r="BM32" s="9">
        <v>1.5760000000000001</v>
      </c>
      <c r="BN32" s="6">
        <v>16.2</v>
      </c>
      <c r="BO32" s="9">
        <v>1.361</v>
      </c>
      <c r="BP32" s="6">
        <v>20.2</v>
      </c>
      <c r="BQ32" s="9">
        <v>1.18</v>
      </c>
      <c r="BR32" s="6">
        <v>24.2</v>
      </c>
      <c r="BS32" s="9">
        <v>1.028</v>
      </c>
      <c r="BT32" s="6">
        <v>28.2</v>
      </c>
      <c r="BU32" s="9">
        <v>0.91</v>
      </c>
    </row>
    <row r="33" spans="7:73" x14ac:dyDescent="0.25">
      <c r="BL33" s="6">
        <v>12.3</v>
      </c>
      <c r="BM33" s="9">
        <v>1.57</v>
      </c>
      <c r="BN33" s="6">
        <v>16.3</v>
      </c>
      <c r="BO33" s="9">
        <v>1.3560000000000001</v>
      </c>
      <c r="BP33" s="6">
        <v>20.3</v>
      </c>
      <c r="BQ33" s="9">
        <v>1.1759999999999999</v>
      </c>
      <c r="BR33" s="6">
        <v>24.3</v>
      </c>
      <c r="BS33" s="9">
        <v>1.024</v>
      </c>
      <c r="BT33" s="6">
        <v>28.3</v>
      </c>
      <c r="BU33" s="9">
        <v>0.90800000000000003</v>
      </c>
    </row>
    <row r="34" spans="7:73" x14ac:dyDescent="0.25">
      <c r="BL34" s="6">
        <v>12.4</v>
      </c>
      <c r="BM34" s="9">
        <v>1.5640000000000001</v>
      </c>
      <c r="BN34" s="6">
        <v>16.399999999999999</v>
      </c>
      <c r="BO34" s="9">
        <v>1.351</v>
      </c>
      <c r="BP34" s="6">
        <v>20.399999999999999</v>
      </c>
      <c r="BQ34" s="9">
        <v>1.1719999999999999</v>
      </c>
      <c r="BR34" s="6">
        <v>24.4</v>
      </c>
      <c r="BS34" s="9">
        <v>1.0209999999999999</v>
      </c>
      <c r="BT34" s="6">
        <v>28.4</v>
      </c>
      <c r="BU34" s="9">
        <v>0.90500000000000003</v>
      </c>
    </row>
    <row r="35" spans="7:73" x14ac:dyDescent="0.25">
      <c r="BL35" s="6">
        <v>12.5</v>
      </c>
      <c r="BM35" s="9">
        <v>1.5580000000000001</v>
      </c>
      <c r="BN35" s="6">
        <v>16.5</v>
      </c>
      <c r="BO35" s="9">
        <v>1.347</v>
      </c>
      <c r="BP35" s="6">
        <v>20.5</v>
      </c>
      <c r="BQ35" s="9">
        <v>1.1679999999999999</v>
      </c>
      <c r="BR35" s="6">
        <v>24.5</v>
      </c>
      <c r="BS35" s="9">
        <v>1.0169999999999999</v>
      </c>
      <c r="BT35" s="6">
        <v>28.5</v>
      </c>
      <c r="BU35" s="9">
        <v>0.90200000000000002</v>
      </c>
    </row>
    <row r="36" spans="7:73" x14ac:dyDescent="0.25">
      <c r="BL36" s="6">
        <v>12.6</v>
      </c>
      <c r="BM36" s="9">
        <v>1.5529999999999999</v>
      </c>
      <c r="BN36" s="6">
        <v>16.600000000000001</v>
      </c>
      <c r="BO36" s="9">
        <v>1.3420000000000001</v>
      </c>
      <c r="BP36" s="6">
        <v>20.6</v>
      </c>
      <c r="BQ36" s="9">
        <v>1.1639999999999999</v>
      </c>
      <c r="BR36" s="6">
        <v>24.6</v>
      </c>
      <c r="BS36" s="9">
        <v>1.014</v>
      </c>
      <c r="BT36" s="6">
        <v>28.6</v>
      </c>
      <c r="BU36" s="9">
        <v>0.9</v>
      </c>
    </row>
    <row r="37" spans="7:73" x14ac:dyDescent="0.25">
      <c r="BL37" s="6">
        <v>12.7</v>
      </c>
      <c r="BM37" s="9">
        <v>1.5469999999999999</v>
      </c>
      <c r="BN37" s="6">
        <v>16.7</v>
      </c>
      <c r="BO37" s="9">
        <v>1.337</v>
      </c>
      <c r="BP37" s="6">
        <v>20.7</v>
      </c>
      <c r="BQ37" s="9">
        <v>1.1599999999999999</v>
      </c>
      <c r="BR37" s="6">
        <v>24.7</v>
      </c>
      <c r="BS37" s="9">
        <v>1.01</v>
      </c>
      <c r="BT37" s="6">
        <v>28.7</v>
      </c>
      <c r="BU37" s="9">
        <v>0.89700000000000002</v>
      </c>
    </row>
    <row r="38" spans="7:73" x14ac:dyDescent="0.25">
      <c r="G38" s="1" t="s">
        <v>0</v>
      </c>
      <c r="H38" s="1" t="s">
        <v>1</v>
      </c>
      <c r="I38" s="1" t="s">
        <v>2</v>
      </c>
      <c r="J38" s="13" t="s">
        <v>3</v>
      </c>
      <c r="K38" s="13" t="s">
        <v>15</v>
      </c>
      <c r="L38" s="13" t="s">
        <v>16</v>
      </c>
      <c r="M38" s="13" t="s">
        <v>17</v>
      </c>
      <c r="T38" s="1" t="s">
        <v>4</v>
      </c>
      <c r="U38" s="1"/>
      <c r="V38" s="1"/>
      <c r="W38" s="1" t="s">
        <v>5</v>
      </c>
      <c r="X38" s="1"/>
      <c r="Y38" s="1" t="s">
        <v>6</v>
      </c>
      <c r="Z38" s="1"/>
      <c r="BL38" s="6">
        <v>12.8</v>
      </c>
      <c r="BM38" s="9">
        <v>1.5409999999999999</v>
      </c>
      <c r="BN38" s="6">
        <v>16.8</v>
      </c>
      <c r="BO38" s="9">
        <v>1.3320000000000001</v>
      </c>
      <c r="BP38" s="6">
        <v>20.8</v>
      </c>
      <c r="BQ38" s="9">
        <v>1.1559999999999999</v>
      </c>
      <c r="BR38" s="6">
        <v>24.8</v>
      </c>
      <c r="BS38" s="9">
        <v>1.0069999999999999</v>
      </c>
      <c r="BT38" s="6">
        <v>28.8</v>
      </c>
      <c r="BU38" s="9">
        <v>0.89400000000000002</v>
      </c>
    </row>
    <row r="39" spans="7:73" x14ac:dyDescent="0.25">
      <c r="G39">
        <v>0</v>
      </c>
      <c r="H39">
        <f>15</f>
        <v>15</v>
      </c>
      <c r="I39">
        <v>7</v>
      </c>
      <c r="J39">
        <f t="shared" ref="J39:J51" si="15">I39*10^-3</f>
        <v>7.0000000000000001E-3</v>
      </c>
      <c r="K39">
        <f t="shared" ref="K39:K51" si="16">H39/3600</f>
        <v>4.1666666666666666E-3</v>
      </c>
      <c r="L39">
        <f t="shared" ref="L39:L51" si="17">J39/K39</f>
        <v>1.6800000000000002</v>
      </c>
      <c r="M39">
        <f t="shared" ref="M39:M51" si="18">J39/(K39*$O$8)</f>
        <v>121.9600725952813</v>
      </c>
      <c r="S39" t="s">
        <v>0</v>
      </c>
      <c r="T39" t="s">
        <v>7</v>
      </c>
      <c r="U39" t="s">
        <v>8</v>
      </c>
      <c r="V39" s="15" t="s">
        <v>9</v>
      </c>
      <c r="W39" t="s">
        <v>7</v>
      </c>
      <c r="X39" t="s">
        <v>8</v>
      </c>
      <c r="Y39" t="s">
        <v>7</v>
      </c>
      <c r="Z39" t="s">
        <v>8</v>
      </c>
      <c r="AA39" t="s">
        <v>9</v>
      </c>
      <c r="AB39" t="s">
        <v>10</v>
      </c>
      <c r="AC39" t="s">
        <v>1</v>
      </c>
      <c r="AD39" s="13" t="s">
        <v>15</v>
      </c>
      <c r="AE39" s="13" t="s">
        <v>19</v>
      </c>
      <c r="AF39" s="13" t="s">
        <v>20</v>
      </c>
      <c r="AG39" s="13" t="s">
        <v>21</v>
      </c>
      <c r="AH39" s="14" t="s">
        <v>22</v>
      </c>
      <c r="AI39" s="20" t="s">
        <v>33</v>
      </c>
      <c r="AJ39" s="13" t="s">
        <v>23</v>
      </c>
      <c r="AK39" s="22" t="s">
        <v>42</v>
      </c>
      <c r="AX39" t="s">
        <v>0</v>
      </c>
      <c r="AY39" t="s">
        <v>1</v>
      </c>
      <c r="AZ39" t="s">
        <v>2</v>
      </c>
      <c r="BA39" s="17" t="s">
        <v>3</v>
      </c>
      <c r="BB39" s="13" t="s">
        <v>15</v>
      </c>
      <c r="BC39" s="13" t="s">
        <v>16</v>
      </c>
      <c r="BD39" s="13" t="s">
        <v>17</v>
      </c>
      <c r="BE39" s="13" t="s">
        <v>24</v>
      </c>
      <c r="BF39" s="22" t="s">
        <v>24</v>
      </c>
      <c r="BL39" s="6">
        <v>12.9</v>
      </c>
      <c r="BM39" s="9">
        <v>1.536</v>
      </c>
      <c r="BN39" s="6">
        <v>16.899999999999999</v>
      </c>
      <c r="BO39" s="9">
        <v>1.327</v>
      </c>
      <c r="BP39" s="6">
        <v>20.9</v>
      </c>
      <c r="BQ39" s="9">
        <v>1.1519999999999999</v>
      </c>
      <c r="BR39" s="6">
        <v>24.9</v>
      </c>
      <c r="BS39" s="9">
        <v>1.0029999999999999</v>
      </c>
      <c r="BT39" s="6">
        <v>28.9</v>
      </c>
      <c r="BU39" s="9">
        <v>0.89200000000000002</v>
      </c>
    </row>
    <row r="40" spans="7:73" x14ac:dyDescent="0.25">
      <c r="G40">
        <v>10</v>
      </c>
      <c r="H40">
        <f>15</f>
        <v>15</v>
      </c>
      <c r="I40">
        <v>7.1</v>
      </c>
      <c r="J40">
        <f t="shared" si="15"/>
        <v>7.0999999999999995E-3</v>
      </c>
      <c r="K40">
        <f t="shared" si="16"/>
        <v>4.1666666666666666E-3</v>
      </c>
      <c r="L40">
        <f t="shared" si="17"/>
        <v>1.704</v>
      </c>
      <c r="M40">
        <f t="shared" si="18"/>
        <v>123.70235934664245</v>
      </c>
      <c r="S40">
        <v>0</v>
      </c>
      <c r="T40">
        <f>10.12*10^3</f>
        <v>10120</v>
      </c>
      <c r="U40">
        <f>6.8</f>
        <v>6.8</v>
      </c>
      <c r="V40" s="15">
        <f>23.6</f>
        <v>23.6</v>
      </c>
      <c r="W40">
        <f>10.15*10^3</f>
        <v>10150</v>
      </c>
      <c r="X40">
        <f>6.72</f>
        <v>6.72</v>
      </c>
      <c r="Y40">
        <f>90.5</f>
        <v>90.5</v>
      </c>
      <c r="Z40">
        <f>0.1315</f>
        <v>0.13150000000000001</v>
      </c>
      <c r="AA40">
        <f>22.2</f>
        <v>22.2</v>
      </c>
      <c r="AB40">
        <v>2.8</v>
      </c>
      <c r="AC40">
        <f>15</f>
        <v>15</v>
      </c>
      <c r="AD40">
        <f t="shared" ref="AD40:AD48" si="19">AC40/3600</f>
        <v>4.1666666666666666E-3</v>
      </c>
      <c r="AE40">
        <f t="shared" ref="AE40:AE48" si="20">AB40*10^-3</f>
        <v>2.8E-3</v>
      </c>
      <c r="AF40">
        <f t="shared" ref="AF40:AF48" si="21">AE40/AD40</f>
        <v>0.67200000000000004</v>
      </c>
      <c r="AG40">
        <f t="shared" ref="AG40:AG48" si="22">AE40/(AD40*$O$8)</f>
        <v>48.784029038112521</v>
      </c>
      <c r="AH40" s="15">
        <f>AG40*BS26</f>
        <v>51.174446460980029</v>
      </c>
      <c r="AI40" s="21">
        <f t="shared" ref="AI40:AI48" si="23">AH40/$AH$40</f>
        <v>1</v>
      </c>
      <c r="AJ40" s="18">
        <f t="shared" ref="AJ40:AJ48" si="24">($AH$40-AH40)/$AH$40</f>
        <v>0</v>
      </c>
      <c r="AK40" s="18">
        <f>(AH40-AH48)/AH40</f>
        <v>3.717826501429914E-2</v>
      </c>
      <c r="AX40">
        <v>0</v>
      </c>
      <c r="AY40">
        <f>15</f>
        <v>15</v>
      </c>
      <c r="AZ40">
        <f>4</f>
        <v>4</v>
      </c>
      <c r="BA40">
        <f t="shared" ref="BA40:BA52" si="25">AZ40*10^-3</f>
        <v>4.0000000000000001E-3</v>
      </c>
      <c r="BB40">
        <f t="shared" ref="BB40:BB52" si="26">AY40/3600</f>
        <v>4.1666666666666666E-3</v>
      </c>
      <c r="BC40">
        <f t="shared" ref="BC40:BC52" si="27">BA40/BB40</f>
        <v>0.96000000000000008</v>
      </c>
      <c r="BD40">
        <f t="shared" ref="BD40:BD52" si="28">BA40/(BB40*$O$8)</f>
        <v>69.691470054446455</v>
      </c>
      <c r="BE40" s="18">
        <f t="shared" ref="BE40:BE52" si="29">(BD40/M39)</f>
        <v>0.5714285714285714</v>
      </c>
      <c r="BF40" s="18">
        <f>BD53/M52</f>
        <v>0.625</v>
      </c>
      <c r="BL40" s="6">
        <v>13</v>
      </c>
      <c r="BM40" s="9">
        <v>1.53</v>
      </c>
      <c r="BN40" s="6">
        <v>17</v>
      </c>
      <c r="BO40" s="9">
        <v>1.323</v>
      </c>
      <c r="BP40" s="6">
        <v>21</v>
      </c>
      <c r="BQ40" s="9">
        <v>1.1479999999999999</v>
      </c>
      <c r="BR40" s="6">
        <v>25</v>
      </c>
      <c r="BS40" s="9">
        <v>1</v>
      </c>
      <c r="BT40" s="6">
        <v>29</v>
      </c>
      <c r="BU40" s="9">
        <v>0.88900000000000001</v>
      </c>
    </row>
    <row r="41" spans="7:73" x14ac:dyDescent="0.25">
      <c r="G41">
        <v>20</v>
      </c>
      <c r="H41">
        <f>15</f>
        <v>15</v>
      </c>
      <c r="I41">
        <v>7.1</v>
      </c>
      <c r="J41">
        <f t="shared" si="15"/>
        <v>7.0999999999999995E-3</v>
      </c>
      <c r="K41">
        <f t="shared" si="16"/>
        <v>4.1666666666666666E-3</v>
      </c>
      <c r="L41">
        <f t="shared" si="17"/>
        <v>1.704</v>
      </c>
      <c r="M41">
        <f t="shared" si="18"/>
        <v>123.70235934664245</v>
      </c>
      <c r="S41">
        <v>30</v>
      </c>
      <c r="T41">
        <f>10.18*10^3</f>
        <v>10180</v>
      </c>
      <c r="U41">
        <f>6.79</f>
        <v>6.79</v>
      </c>
      <c r="V41" s="15">
        <f>24</f>
        <v>24</v>
      </c>
      <c r="W41">
        <f>10.45*10^3</f>
        <v>10450</v>
      </c>
      <c r="X41">
        <f>6.67</f>
        <v>6.67</v>
      </c>
      <c r="Y41">
        <f>165.7</f>
        <v>165.7</v>
      </c>
      <c r="Z41">
        <f>0.1132</f>
        <v>0.1132</v>
      </c>
      <c r="AA41">
        <f>22.5</f>
        <v>22.5</v>
      </c>
      <c r="AB41">
        <f>2.3</f>
        <v>2.2999999999999998</v>
      </c>
      <c r="AC41">
        <f>15</f>
        <v>15</v>
      </c>
      <c r="AD41">
        <f t="shared" si="19"/>
        <v>4.1666666666666666E-3</v>
      </c>
      <c r="AE41">
        <f t="shared" si="20"/>
        <v>2.3E-3</v>
      </c>
      <c r="AF41">
        <f t="shared" si="21"/>
        <v>0.55200000000000005</v>
      </c>
      <c r="AG41">
        <f t="shared" si="22"/>
        <v>40.072595281306711</v>
      </c>
      <c r="AH41" s="15">
        <f>AG41*BS30</f>
        <v>41.475136116152441</v>
      </c>
      <c r="AI41" s="21">
        <f t="shared" si="23"/>
        <v>0.81046574969358565</v>
      </c>
      <c r="AJ41" s="18">
        <f t="shared" si="24"/>
        <v>0.18953425030641433</v>
      </c>
      <c r="AX41">
        <v>10</v>
      </c>
      <c r="AY41">
        <f>15</f>
        <v>15</v>
      </c>
      <c r="AZ41">
        <f>4.1</f>
        <v>4.0999999999999996</v>
      </c>
      <c r="BA41">
        <f t="shared" si="25"/>
        <v>4.0999999999999995E-3</v>
      </c>
      <c r="BB41">
        <f t="shared" si="26"/>
        <v>4.1666666666666666E-3</v>
      </c>
      <c r="BC41">
        <f t="shared" si="27"/>
        <v>0.98399999999999987</v>
      </c>
      <c r="BD41">
        <f t="shared" si="28"/>
        <v>71.433756805807604</v>
      </c>
      <c r="BE41" s="18">
        <f t="shared" si="29"/>
        <v>0.57746478873239426</v>
      </c>
      <c r="BL41" s="6">
        <v>13.1</v>
      </c>
      <c r="BM41" s="9">
        <v>1.524</v>
      </c>
      <c r="BN41" s="6">
        <v>17.100000000000001</v>
      </c>
      <c r="BO41" s="9">
        <v>1.3180000000000001</v>
      </c>
      <c r="BP41" s="6">
        <v>21.1</v>
      </c>
      <c r="BQ41" s="9">
        <v>1.1439999999999999</v>
      </c>
      <c r="BR41" s="6">
        <v>25.1</v>
      </c>
      <c r="BS41" s="9">
        <v>0.997</v>
      </c>
      <c r="BT41" s="6">
        <v>29.1</v>
      </c>
      <c r="BU41" s="9">
        <v>0.88700000000000001</v>
      </c>
    </row>
    <row r="42" spans="7:73" x14ac:dyDescent="0.25">
      <c r="G42">
        <v>30</v>
      </c>
      <c r="H42">
        <f>15</f>
        <v>15</v>
      </c>
      <c r="I42">
        <v>7.3</v>
      </c>
      <c r="J42">
        <f t="shared" si="15"/>
        <v>7.3000000000000001E-3</v>
      </c>
      <c r="K42">
        <f t="shared" si="16"/>
        <v>4.1666666666666666E-3</v>
      </c>
      <c r="L42">
        <f t="shared" si="17"/>
        <v>1.752</v>
      </c>
      <c r="M42">
        <f t="shared" si="18"/>
        <v>127.18693284936478</v>
      </c>
      <c r="S42">
        <v>60</v>
      </c>
      <c r="T42">
        <f>10.3*10^3</f>
        <v>10300</v>
      </c>
      <c r="U42">
        <f>7</f>
        <v>7</v>
      </c>
      <c r="V42" s="15">
        <f>24.2</f>
        <v>24.2</v>
      </c>
      <c r="W42">
        <f>10.61*10^3</f>
        <v>10610</v>
      </c>
      <c r="X42">
        <f>6.89</f>
        <v>6.89</v>
      </c>
      <c r="Y42">
        <f>182.1</f>
        <v>182.1</v>
      </c>
      <c r="Z42">
        <f>0.1245</f>
        <v>0.1245</v>
      </c>
      <c r="AA42">
        <f>22.9</f>
        <v>22.9</v>
      </c>
      <c r="AB42">
        <f>2.2</f>
        <v>2.2000000000000002</v>
      </c>
      <c r="AC42">
        <f>15</f>
        <v>15</v>
      </c>
      <c r="AD42">
        <f t="shared" si="19"/>
        <v>4.1666666666666666E-3</v>
      </c>
      <c r="AE42">
        <f t="shared" si="20"/>
        <v>2.2000000000000001E-3</v>
      </c>
      <c r="AF42">
        <f t="shared" si="21"/>
        <v>0.52800000000000002</v>
      </c>
      <c r="AG42">
        <f t="shared" si="22"/>
        <v>38.330308529945555</v>
      </c>
      <c r="AH42" s="15">
        <f>AG42*BS32</f>
        <v>39.403557168784033</v>
      </c>
      <c r="AI42" s="21">
        <f t="shared" si="23"/>
        <v>0.76998501974669775</v>
      </c>
      <c r="AJ42" s="18">
        <f t="shared" si="24"/>
        <v>0.23001498025330228</v>
      </c>
      <c r="AX42">
        <v>20</v>
      </c>
      <c r="AY42">
        <f>15</f>
        <v>15</v>
      </c>
      <c r="AZ42">
        <f>4.2</f>
        <v>4.2</v>
      </c>
      <c r="BA42">
        <f t="shared" si="25"/>
        <v>4.2000000000000006E-3</v>
      </c>
      <c r="BB42">
        <f t="shared" si="26"/>
        <v>4.1666666666666666E-3</v>
      </c>
      <c r="BC42">
        <f t="shared" si="27"/>
        <v>1.0080000000000002</v>
      </c>
      <c r="BD42">
        <f t="shared" si="28"/>
        <v>73.176043557168796</v>
      </c>
      <c r="BE42" s="18">
        <f t="shared" si="29"/>
        <v>0.5915492957746481</v>
      </c>
      <c r="BL42" s="6">
        <v>13.2</v>
      </c>
      <c r="BM42" s="9">
        <v>1.5189999999999999</v>
      </c>
      <c r="BN42" s="6">
        <v>17.2</v>
      </c>
      <c r="BO42" s="9">
        <v>1.3129999999999999</v>
      </c>
      <c r="BP42" s="6">
        <v>21.2</v>
      </c>
      <c r="BQ42" s="9">
        <v>1.1399999999999999</v>
      </c>
      <c r="BR42" s="6">
        <v>25.2</v>
      </c>
      <c r="BS42" s="9">
        <v>0.99399999999999999</v>
      </c>
      <c r="BT42" s="6">
        <v>29.2</v>
      </c>
      <c r="BU42" s="9">
        <v>0.88400000000000001</v>
      </c>
    </row>
    <row r="43" spans="7:73" x14ac:dyDescent="0.25">
      <c r="G43">
        <v>40</v>
      </c>
      <c r="H43">
        <f>15</f>
        <v>15</v>
      </c>
      <c r="I43">
        <v>6.8</v>
      </c>
      <c r="J43">
        <f t="shared" si="15"/>
        <v>6.7999999999999996E-3</v>
      </c>
      <c r="K43">
        <f t="shared" si="16"/>
        <v>4.1666666666666666E-3</v>
      </c>
      <c r="L43">
        <f t="shared" si="17"/>
        <v>1.6319999999999999</v>
      </c>
      <c r="M43">
        <f t="shared" si="18"/>
        <v>118.47549909255896</v>
      </c>
      <c r="S43">
        <v>90</v>
      </c>
      <c r="T43">
        <f>10.14*10^3</f>
        <v>10140</v>
      </c>
      <c r="U43">
        <f>6.62</f>
        <v>6.62</v>
      </c>
      <c r="V43" s="15">
        <f>23</f>
        <v>23</v>
      </c>
      <c r="W43">
        <f>10*10^3</f>
        <v>10000</v>
      </c>
      <c r="X43">
        <f>6.45</f>
        <v>6.45</v>
      </c>
      <c r="Y43">
        <f>209.6</f>
        <v>209.6</v>
      </c>
      <c r="Z43">
        <f>0.1358</f>
        <v>0.1358</v>
      </c>
      <c r="AA43">
        <f>22.3</f>
        <v>22.3</v>
      </c>
      <c r="AB43">
        <f>1.8</f>
        <v>1.8</v>
      </c>
      <c r="AC43">
        <f>15</f>
        <v>15</v>
      </c>
      <c r="AD43">
        <f t="shared" si="19"/>
        <v>4.1666666666666666E-3</v>
      </c>
      <c r="AE43">
        <f t="shared" si="20"/>
        <v>1.8000000000000002E-3</v>
      </c>
      <c r="AF43">
        <f t="shared" si="21"/>
        <v>0.43200000000000005</v>
      </c>
      <c r="AG43">
        <f t="shared" si="22"/>
        <v>31.361161524500908</v>
      </c>
      <c r="AH43" s="15">
        <f>AG43*BS20</f>
        <v>33.587803992740469</v>
      </c>
      <c r="AI43" s="21">
        <f t="shared" si="23"/>
        <v>0.65633937082936133</v>
      </c>
      <c r="AJ43" s="18">
        <f t="shared" si="24"/>
        <v>0.34366062917063867</v>
      </c>
      <c r="AX43">
        <v>30</v>
      </c>
      <c r="AY43">
        <f>15</f>
        <v>15</v>
      </c>
      <c r="AZ43">
        <f>4.1</f>
        <v>4.0999999999999996</v>
      </c>
      <c r="BA43">
        <f t="shared" si="25"/>
        <v>4.0999999999999995E-3</v>
      </c>
      <c r="BB43">
        <f t="shared" si="26"/>
        <v>4.1666666666666666E-3</v>
      </c>
      <c r="BC43">
        <f t="shared" si="27"/>
        <v>0.98399999999999987</v>
      </c>
      <c r="BD43">
        <f t="shared" si="28"/>
        <v>71.433756805807604</v>
      </c>
      <c r="BE43" s="18">
        <f t="shared" si="29"/>
        <v>0.56164383561643827</v>
      </c>
      <c r="BL43" s="6">
        <v>13.3</v>
      </c>
      <c r="BM43" s="9">
        <v>1.5129999999999999</v>
      </c>
      <c r="BN43" s="6">
        <v>17.3</v>
      </c>
      <c r="BO43" s="9">
        <v>1.3080000000000001</v>
      </c>
      <c r="BP43" s="6">
        <v>21.3</v>
      </c>
      <c r="BQ43" s="9">
        <v>1.1359999999999999</v>
      </c>
      <c r="BR43" s="6">
        <v>25.3</v>
      </c>
      <c r="BS43" s="9">
        <v>0.99099999999999999</v>
      </c>
      <c r="BT43" s="6">
        <v>29.3</v>
      </c>
      <c r="BU43" s="9">
        <v>0.88200000000000001</v>
      </c>
    </row>
    <row r="44" spans="7:73" x14ac:dyDescent="0.25">
      <c r="G44">
        <v>50</v>
      </c>
      <c r="H44">
        <f>15</f>
        <v>15</v>
      </c>
      <c r="I44">
        <v>7</v>
      </c>
      <c r="J44">
        <f t="shared" si="15"/>
        <v>7.0000000000000001E-3</v>
      </c>
      <c r="K44">
        <f t="shared" si="16"/>
        <v>4.1666666666666666E-3</v>
      </c>
      <c r="L44">
        <f t="shared" si="17"/>
        <v>1.6800000000000002</v>
      </c>
      <c r="M44">
        <f t="shared" si="18"/>
        <v>121.9600725952813</v>
      </c>
      <c r="S44">
        <v>120</v>
      </c>
      <c r="T44">
        <f>10.39*10^3</f>
        <v>10390</v>
      </c>
      <c r="U44">
        <f>6.84</f>
        <v>6.84</v>
      </c>
      <c r="V44" s="15">
        <f>24.3</f>
        <v>24.3</v>
      </c>
      <c r="W44">
        <f>10.38*10^3</f>
        <v>10380</v>
      </c>
      <c r="X44">
        <f>6.75</f>
        <v>6.75</v>
      </c>
      <c r="Y44">
        <f>212.8</f>
        <v>212.8</v>
      </c>
      <c r="Z44">
        <f>0.1469</f>
        <v>0.1469</v>
      </c>
      <c r="AA44">
        <f>22.4</f>
        <v>22.4</v>
      </c>
      <c r="AB44">
        <f>2</f>
        <v>2</v>
      </c>
      <c r="AC44">
        <f>15</f>
        <v>15</v>
      </c>
      <c r="AD44">
        <f t="shared" si="19"/>
        <v>4.1666666666666666E-3</v>
      </c>
      <c r="AE44">
        <f t="shared" si="20"/>
        <v>2E-3</v>
      </c>
      <c r="AF44">
        <f t="shared" si="21"/>
        <v>0.48000000000000004</v>
      </c>
      <c r="AG44">
        <f t="shared" si="22"/>
        <v>34.845735027223228</v>
      </c>
      <c r="AH44" s="15">
        <f>AG44*BS33</f>
        <v>35.682032667876584</v>
      </c>
      <c r="AI44" s="21">
        <f t="shared" si="23"/>
        <v>0.69726269916927686</v>
      </c>
      <c r="AJ44" s="18">
        <f t="shared" si="24"/>
        <v>0.30273730083072314</v>
      </c>
      <c r="AX44">
        <v>40</v>
      </c>
      <c r="AY44">
        <f>15</f>
        <v>15</v>
      </c>
      <c r="AZ44">
        <f>4.1</f>
        <v>4.0999999999999996</v>
      </c>
      <c r="BA44">
        <f t="shared" si="25"/>
        <v>4.0999999999999995E-3</v>
      </c>
      <c r="BB44">
        <f t="shared" si="26"/>
        <v>4.1666666666666666E-3</v>
      </c>
      <c r="BC44">
        <f t="shared" si="27"/>
        <v>0.98399999999999987</v>
      </c>
      <c r="BD44">
        <f t="shared" si="28"/>
        <v>71.433756805807604</v>
      </c>
      <c r="BE44" s="18">
        <f t="shared" si="29"/>
        <v>0.6029411764705882</v>
      </c>
      <c r="BL44" s="6">
        <v>13.4</v>
      </c>
      <c r="BM44" s="9">
        <v>1.508</v>
      </c>
      <c r="BN44" s="6">
        <v>17.399999999999999</v>
      </c>
      <c r="BO44" s="9">
        <v>1.304</v>
      </c>
      <c r="BP44" s="6">
        <v>21.4</v>
      </c>
      <c r="BQ44" s="9">
        <v>1.1319999999999999</v>
      </c>
      <c r="BR44" s="6">
        <v>25.4</v>
      </c>
      <c r="BS44" s="9">
        <v>0.98799999999999999</v>
      </c>
      <c r="BT44" s="6">
        <v>29.4</v>
      </c>
      <c r="BU44" s="9">
        <v>0.879</v>
      </c>
    </row>
    <row r="45" spans="7:73" x14ac:dyDescent="0.25">
      <c r="G45">
        <v>60</v>
      </c>
      <c r="H45">
        <f>15</f>
        <v>15</v>
      </c>
      <c r="I45">
        <v>7</v>
      </c>
      <c r="J45">
        <f t="shared" si="15"/>
        <v>7.0000000000000001E-3</v>
      </c>
      <c r="K45">
        <f t="shared" si="16"/>
        <v>4.1666666666666666E-3</v>
      </c>
      <c r="L45">
        <f t="shared" si="17"/>
        <v>1.6800000000000002</v>
      </c>
      <c r="M45">
        <f t="shared" si="18"/>
        <v>121.9600725952813</v>
      </c>
      <c r="S45">
        <v>150</v>
      </c>
      <c r="T45">
        <f>10.1*10^3</f>
        <v>10100</v>
      </c>
      <c r="U45">
        <f>6.63</f>
        <v>6.63</v>
      </c>
      <c r="V45" s="15">
        <f>24.9</f>
        <v>24.9</v>
      </c>
      <c r="W45">
        <f>10.49*10^3</f>
        <v>10490</v>
      </c>
      <c r="X45">
        <f>6.75</f>
        <v>6.75</v>
      </c>
      <c r="Y45">
        <f>204.7</f>
        <v>204.7</v>
      </c>
      <c r="Z45">
        <f>0.1389</f>
        <v>0.1389</v>
      </c>
      <c r="AA45">
        <f>22.5</f>
        <v>22.5</v>
      </c>
      <c r="AB45">
        <f>2.2</f>
        <v>2.2000000000000002</v>
      </c>
      <c r="AC45">
        <f>15</f>
        <v>15</v>
      </c>
      <c r="AD45">
        <f t="shared" si="19"/>
        <v>4.1666666666666666E-3</v>
      </c>
      <c r="AE45">
        <f t="shared" si="20"/>
        <v>2.2000000000000001E-3</v>
      </c>
      <c r="AF45">
        <f t="shared" si="21"/>
        <v>0.52800000000000002</v>
      </c>
      <c r="AG45">
        <f t="shared" si="22"/>
        <v>38.330308529945555</v>
      </c>
      <c r="AH45" s="15">
        <f>AG45*BS39</f>
        <v>38.445299455535384</v>
      </c>
      <c r="AI45" s="21">
        <f t="shared" si="23"/>
        <v>0.75125970311861634</v>
      </c>
      <c r="AJ45" s="18">
        <f t="shared" si="24"/>
        <v>0.24874029688138363</v>
      </c>
      <c r="AX45">
        <v>50</v>
      </c>
      <c r="AY45">
        <f>15</f>
        <v>15</v>
      </c>
      <c r="AZ45">
        <f>4.2</f>
        <v>4.2</v>
      </c>
      <c r="BA45">
        <f t="shared" si="25"/>
        <v>4.2000000000000006E-3</v>
      </c>
      <c r="BB45">
        <f t="shared" si="26"/>
        <v>4.1666666666666666E-3</v>
      </c>
      <c r="BC45">
        <f t="shared" si="27"/>
        <v>1.0080000000000002</v>
      </c>
      <c r="BD45">
        <f t="shared" si="28"/>
        <v>73.176043557168796</v>
      </c>
      <c r="BE45" s="18">
        <f t="shared" si="29"/>
        <v>0.60000000000000009</v>
      </c>
      <c r="BL45" s="6">
        <v>13.5</v>
      </c>
      <c r="BM45" s="9">
        <v>1.502</v>
      </c>
      <c r="BN45" s="6">
        <v>17.5</v>
      </c>
      <c r="BO45" s="9">
        <v>1.2989999999999999</v>
      </c>
      <c r="BP45" s="6">
        <v>21.5</v>
      </c>
      <c r="BQ45" s="9">
        <v>1.1279999999999999</v>
      </c>
      <c r="BR45" s="6">
        <v>25.5</v>
      </c>
      <c r="BS45" s="9">
        <v>0.98499999999999999</v>
      </c>
      <c r="BT45" s="6">
        <v>29.5</v>
      </c>
      <c r="BU45" s="9">
        <v>0.877</v>
      </c>
    </row>
    <row r="46" spans="7:73" x14ac:dyDescent="0.25">
      <c r="G46">
        <v>70</v>
      </c>
      <c r="H46">
        <f>15</f>
        <v>15</v>
      </c>
      <c r="I46">
        <v>7.1</v>
      </c>
      <c r="J46">
        <f t="shared" si="15"/>
        <v>7.0999999999999995E-3</v>
      </c>
      <c r="K46">
        <f t="shared" si="16"/>
        <v>4.1666666666666666E-3</v>
      </c>
      <c r="L46">
        <f t="shared" si="17"/>
        <v>1.704</v>
      </c>
      <c r="M46">
        <f t="shared" si="18"/>
        <v>123.70235934664245</v>
      </c>
      <c r="S46">
        <v>180</v>
      </c>
      <c r="T46">
        <f>10.29*10^3</f>
        <v>10290</v>
      </c>
      <c r="U46">
        <f>6.69</f>
        <v>6.69</v>
      </c>
      <c r="V46" s="15">
        <f>24.8</f>
        <v>24.8</v>
      </c>
      <c r="W46">
        <f>10.48*10^3</f>
        <v>10480</v>
      </c>
      <c r="X46">
        <f>6.83</f>
        <v>6.83</v>
      </c>
      <c r="Y46">
        <f>225.2</f>
        <v>225.2</v>
      </c>
      <c r="Z46">
        <f>0.1525</f>
        <v>0.1525</v>
      </c>
      <c r="AA46">
        <f>22.6</f>
        <v>22.6</v>
      </c>
      <c r="AB46">
        <f>2.4</f>
        <v>2.4</v>
      </c>
      <c r="AC46">
        <f>15</f>
        <v>15</v>
      </c>
      <c r="AD46">
        <f t="shared" si="19"/>
        <v>4.1666666666666666E-3</v>
      </c>
      <c r="AE46">
        <f t="shared" si="20"/>
        <v>2.3999999999999998E-3</v>
      </c>
      <c r="AF46">
        <f t="shared" si="21"/>
        <v>0.57599999999999996</v>
      </c>
      <c r="AG46">
        <f t="shared" si="22"/>
        <v>41.814882032667867</v>
      </c>
      <c r="AH46" s="15">
        <f>AG46*BS48</f>
        <v>40.853139745916508</v>
      </c>
      <c r="AI46" s="21">
        <f t="shared" si="23"/>
        <v>0.79831131690044932</v>
      </c>
      <c r="AJ46" s="18">
        <f t="shared" si="24"/>
        <v>0.20168868309955063</v>
      </c>
      <c r="AX46">
        <v>60</v>
      </c>
      <c r="AY46">
        <f>15</f>
        <v>15</v>
      </c>
      <c r="AZ46">
        <f>4.4</f>
        <v>4.4000000000000004</v>
      </c>
      <c r="BA46">
        <f t="shared" si="25"/>
        <v>4.4000000000000003E-3</v>
      </c>
      <c r="BB46">
        <f t="shared" si="26"/>
        <v>4.1666666666666666E-3</v>
      </c>
      <c r="BC46">
        <f t="shared" si="27"/>
        <v>1.056</v>
      </c>
      <c r="BD46">
        <f t="shared" si="28"/>
        <v>76.660617059891109</v>
      </c>
      <c r="BE46" s="18">
        <f t="shared" si="29"/>
        <v>0.62857142857142856</v>
      </c>
      <c r="BL46" s="6">
        <v>13.6</v>
      </c>
      <c r="BM46" s="9">
        <v>1.496</v>
      </c>
      <c r="BN46" s="6">
        <v>17.600000000000001</v>
      </c>
      <c r="BO46" s="9">
        <v>1.294</v>
      </c>
      <c r="BP46" s="6">
        <v>21.6</v>
      </c>
      <c r="BQ46" s="9">
        <v>1.1240000000000001</v>
      </c>
      <c r="BR46" s="6">
        <v>25.6</v>
      </c>
      <c r="BS46" s="9">
        <v>0.98199999999999998</v>
      </c>
      <c r="BT46" s="6">
        <v>29.6</v>
      </c>
      <c r="BU46" s="9">
        <v>0.874</v>
      </c>
    </row>
    <row r="47" spans="7:73" x14ac:dyDescent="0.25">
      <c r="G47">
        <v>80</v>
      </c>
      <c r="H47">
        <f>15</f>
        <v>15</v>
      </c>
      <c r="I47">
        <v>6.8</v>
      </c>
      <c r="J47">
        <f t="shared" si="15"/>
        <v>6.7999999999999996E-3</v>
      </c>
      <c r="K47">
        <f t="shared" si="16"/>
        <v>4.1666666666666666E-3</v>
      </c>
      <c r="L47">
        <f t="shared" si="17"/>
        <v>1.6319999999999999</v>
      </c>
      <c r="M47">
        <f t="shared" si="18"/>
        <v>118.47549909255896</v>
      </c>
      <c r="S47">
        <v>210</v>
      </c>
      <c r="T47">
        <f>10.63*10^3</f>
        <v>10630</v>
      </c>
      <c r="U47">
        <f>7.07</f>
        <v>7.07</v>
      </c>
      <c r="V47" s="15">
        <f>24.4</f>
        <v>24.4</v>
      </c>
      <c r="W47">
        <f>10.67*10^3</f>
        <v>10670</v>
      </c>
      <c r="X47">
        <f>6.87</f>
        <v>6.87</v>
      </c>
      <c r="Y47">
        <f>301.8</f>
        <v>301.8</v>
      </c>
      <c r="Z47">
        <f>0.1823</f>
        <v>0.18229999999999999</v>
      </c>
      <c r="AA47">
        <f>22.4</f>
        <v>22.4</v>
      </c>
      <c r="AB47">
        <f>2.6</f>
        <v>2.6</v>
      </c>
      <c r="AC47">
        <f>15</f>
        <v>15</v>
      </c>
      <c r="AD47">
        <f t="shared" si="19"/>
        <v>4.1666666666666666E-3</v>
      </c>
      <c r="AE47">
        <f t="shared" si="20"/>
        <v>2.6000000000000003E-3</v>
      </c>
      <c r="AF47">
        <f t="shared" si="21"/>
        <v>0.62400000000000011</v>
      </c>
      <c r="AG47">
        <f t="shared" si="22"/>
        <v>45.299455535390202</v>
      </c>
      <c r="AH47" s="15">
        <f>AG47*BS34</f>
        <v>46.250744101633394</v>
      </c>
      <c r="AI47" s="21">
        <f t="shared" si="23"/>
        <v>0.90378591856189583</v>
      </c>
      <c r="AJ47" s="18">
        <f t="shared" si="24"/>
        <v>9.6214081438104185E-2</v>
      </c>
      <c r="AX47">
        <v>70</v>
      </c>
      <c r="AY47">
        <f>15</f>
        <v>15</v>
      </c>
      <c r="AZ47">
        <f>4.6</f>
        <v>4.5999999999999996</v>
      </c>
      <c r="BA47">
        <f t="shared" si="25"/>
        <v>4.5999999999999999E-3</v>
      </c>
      <c r="BB47">
        <f t="shared" si="26"/>
        <v>4.1666666666666666E-3</v>
      </c>
      <c r="BC47">
        <f t="shared" si="27"/>
        <v>1.1040000000000001</v>
      </c>
      <c r="BD47">
        <f t="shared" si="28"/>
        <v>80.145190562613422</v>
      </c>
      <c r="BE47" s="18">
        <f t="shared" si="29"/>
        <v>0.647887323943662</v>
      </c>
      <c r="BL47" s="6">
        <v>13.7</v>
      </c>
      <c r="BM47" s="9">
        <v>1.4910000000000001</v>
      </c>
      <c r="BN47" s="6">
        <v>17.7</v>
      </c>
      <c r="BO47" s="9">
        <v>1.29</v>
      </c>
      <c r="BP47" s="6">
        <v>21.7</v>
      </c>
      <c r="BQ47" s="9">
        <v>1.1200000000000001</v>
      </c>
      <c r="BR47" s="6">
        <v>25.7</v>
      </c>
      <c r="BS47" s="9">
        <v>0.97899999999999998</v>
      </c>
      <c r="BT47" s="6">
        <v>29.7</v>
      </c>
      <c r="BU47" s="9">
        <v>0.871</v>
      </c>
    </row>
    <row r="48" spans="7:73" x14ac:dyDescent="0.25">
      <c r="G48">
        <v>90</v>
      </c>
      <c r="H48">
        <v>15</v>
      </c>
      <c r="I48">
        <v>6.6</v>
      </c>
      <c r="J48">
        <f t="shared" si="15"/>
        <v>6.6E-3</v>
      </c>
      <c r="K48">
        <f t="shared" si="16"/>
        <v>4.1666666666666666E-3</v>
      </c>
      <c r="L48">
        <f t="shared" si="17"/>
        <v>1.5840000000000001</v>
      </c>
      <c r="M48">
        <f t="shared" si="18"/>
        <v>114.99092558983665</v>
      </c>
      <c r="S48">
        <v>240</v>
      </c>
      <c r="T48">
        <f>10.6*10^3</f>
        <v>10600</v>
      </c>
      <c r="U48">
        <f>7.02</f>
        <v>7.02</v>
      </c>
      <c r="V48" s="15">
        <f>24.7</f>
        <v>24.7</v>
      </c>
      <c r="W48">
        <f>10.81*10^3</f>
        <v>10810</v>
      </c>
      <c r="X48">
        <f>6.76</f>
        <v>6.76</v>
      </c>
      <c r="Y48">
        <f>461.8</f>
        <v>461.8</v>
      </c>
      <c r="Z48">
        <f>0.2453</f>
        <v>0.24529999999999999</v>
      </c>
      <c r="AA48">
        <f>22.3</f>
        <v>22.3</v>
      </c>
      <c r="AB48">
        <f>2.8</f>
        <v>2.8</v>
      </c>
      <c r="AC48">
        <f>15</f>
        <v>15</v>
      </c>
      <c r="AD48">
        <f t="shared" si="19"/>
        <v>4.1666666666666666E-3</v>
      </c>
      <c r="AE48">
        <f t="shared" si="20"/>
        <v>2.8E-3</v>
      </c>
      <c r="AF48">
        <f t="shared" si="21"/>
        <v>0.67200000000000004</v>
      </c>
      <c r="AG48">
        <f t="shared" si="22"/>
        <v>48.784029038112521</v>
      </c>
      <c r="AH48" s="15">
        <f>AG48*BS37</f>
        <v>49.271869328493651</v>
      </c>
      <c r="AI48" s="21">
        <f t="shared" si="23"/>
        <v>0.96282173498570089</v>
      </c>
      <c r="AJ48" s="18">
        <f t="shared" si="24"/>
        <v>3.717826501429914E-2</v>
      </c>
      <c r="AX48">
        <v>80</v>
      </c>
      <c r="AY48">
        <f>15</f>
        <v>15</v>
      </c>
      <c r="AZ48">
        <f>4.4</f>
        <v>4.4000000000000004</v>
      </c>
      <c r="BA48">
        <f t="shared" si="25"/>
        <v>4.4000000000000003E-3</v>
      </c>
      <c r="BB48">
        <f t="shared" si="26"/>
        <v>4.1666666666666666E-3</v>
      </c>
      <c r="BC48">
        <f t="shared" si="27"/>
        <v>1.056</v>
      </c>
      <c r="BD48">
        <f t="shared" si="28"/>
        <v>76.660617059891109</v>
      </c>
      <c r="BE48" s="18">
        <f t="shared" si="29"/>
        <v>0.64705882352941191</v>
      </c>
      <c r="BL48" s="6">
        <v>13.8</v>
      </c>
      <c r="BM48" s="9">
        <v>1.486</v>
      </c>
      <c r="BN48" s="6">
        <v>17.8</v>
      </c>
      <c r="BO48" s="9">
        <v>1.2849999999999999</v>
      </c>
      <c r="BP48" s="6">
        <v>21.8</v>
      </c>
      <c r="BQ48" s="9">
        <v>1.1160000000000001</v>
      </c>
      <c r="BR48" s="6">
        <v>25.8</v>
      </c>
      <c r="BS48" s="9">
        <v>0.97699999999999998</v>
      </c>
      <c r="BT48" s="6">
        <v>29.8</v>
      </c>
      <c r="BU48" s="9">
        <v>0.86899999999999999</v>
      </c>
    </row>
    <row r="49" spans="7:73" x14ac:dyDescent="0.25">
      <c r="G49">
        <v>100</v>
      </c>
      <c r="H49">
        <v>15</v>
      </c>
      <c r="I49">
        <v>6.7</v>
      </c>
      <c r="J49">
        <f t="shared" si="15"/>
        <v>6.7000000000000002E-3</v>
      </c>
      <c r="K49">
        <f t="shared" si="16"/>
        <v>4.1666666666666666E-3</v>
      </c>
      <c r="L49">
        <f t="shared" si="17"/>
        <v>1.6080000000000001</v>
      </c>
      <c r="M49">
        <f t="shared" si="18"/>
        <v>116.73321234119781</v>
      </c>
      <c r="AG49" s="1">
        <f>AVERAGE(AG40:AG48)</f>
        <v>40.84694494857834</v>
      </c>
      <c r="AH49" s="16">
        <f>AVERAGE(AH40:AH48)</f>
        <v>41.793781004234724</v>
      </c>
      <c r="AI49" s="26"/>
      <c r="AJ49" s="19"/>
      <c r="AX49">
        <v>90</v>
      </c>
      <c r="AY49">
        <f>15</f>
        <v>15</v>
      </c>
      <c r="AZ49">
        <f>4.4</f>
        <v>4.4000000000000004</v>
      </c>
      <c r="BA49">
        <f t="shared" si="25"/>
        <v>4.4000000000000003E-3</v>
      </c>
      <c r="BB49">
        <f t="shared" si="26"/>
        <v>4.1666666666666666E-3</v>
      </c>
      <c r="BC49">
        <f t="shared" si="27"/>
        <v>1.056</v>
      </c>
      <c r="BD49">
        <f t="shared" si="28"/>
        <v>76.660617059891109</v>
      </c>
      <c r="BE49" s="18">
        <f t="shared" si="29"/>
        <v>0.66666666666666674</v>
      </c>
      <c r="BL49" s="6">
        <v>13.9</v>
      </c>
      <c r="BM49" s="9">
        <v>1.48</v>
      </c>
      <c r="BN49" s="6">
        <v>17.899999999999999</v>
      </c>
      <c r="BO49" s="9">
        <v>1.2809999999999999</v>
      </c>
      <c r="BP49" s="6">
        <v>21.9</v>
      </c>
      <c r="BQ49" s="9">
        <v>1.1120000000000001</v>
      </c>
      <c r="BR49" s="6">
        <v>25.9</v>
      </c>
      <c r="BS49" s="9">
        <v>0.97399999999999998</v>
      </c>
      <c r="BT49" s="6">
        <v>29.9</v>
      </c>
      <c r="BU49" s="9">
        <v>0.86599999999999999</v>
      </c>
    </row>
    <row r="50" spans="7:73" x14ac:dyDescent="0.25">
      <c r="G50">
        <v>110</v>
      </c>
      <c r="H50">
        <v>15</v>
      </c>
      <c r="I50">
        <v>6.6</v>
      </c>
      <c r="J50">
        <f t="shared" si="15"/>
        <v>6.6E-3</v>
      </c>
      <c r="K50">
        <f t="shared" si="16"/>
        <v>4.1666666666666666E-3</v>
      </c>
      <c r="L50">
        <f t="shared" si="17"/>
        <v>1.5840000000000001</v>
      </c>
      <c r="M50">
        <f t="shared" si="18"/>
        <v>114.99092558983665</v>
      </c>
      <c r="AX50">
        <v>100</v>
      </c>
      <c r="AY50">
        <f>15</f>
        <v>15</v>
      </c>
      <c r="AZ50">
        <f>4.5</f>
        <v>4.5</v>
      </c>
      <c r="BA50">
        <f t="shared" si="25"/>
        <v>4.5000000000000005E-3</v>
      </c>
      <c r="BB50">
        <f t="shared" si="26"/>
        <v>4.1666666666666666E-3</v>
      </c>
      <c r="BC50">
        <f t="shared" si="27"/>
        <v>1.08</v>
      </c>
      <c r="BD50">
        <f t="shared" si="28"/>
        <v>78.402903811252273</v>
      </c>
      <c r="BE50" s="18">
        <f t="shared" si="29"/>
        <v>0.67164179104477617</v>
      </c>
    </row>
    <row r="51" spans="7:73" x14ac:dyDescent="0.25">
      <c r="G51">
        <v>120</v>
      </c>
      <c r="H51">
        <v>15</v>
      </c>
      <c r="I51">
        <v>6.5</v>
      </c>
      <c r="J51">
        <f t="shared" si="15"/>
        <v>6.5000000000000006E-3</v>
      </c>
      <c r="K51">
        <f t="shared" si="16"/>
        <v>4.1666666666666666E-3</v>
      </c>
      <c r="L51">
        <f t="shared" si="17"/>
        <v>1.56</v>
      </c>
      <c r="M51">
        <f t="shared" si="18"/>
        <v>113.2486388384755</v>
      </c>
      <c r="AX51">
        <v>110</v>
      </c>
      <c r="AY51">
        <f>15</f>
        <v>15</v>
      </c>
      <c r="AZ51">
        <f>4.5</f>
        <v>4.5</v>
      </c>
      <c r="BA51">
        <f t="shared" si="25"/>
        <v>4.5000000000000005E-3</v>
      </c>
      <c r="BB51">
        <f t="shared" si="26"/>
        <v>4.1666666666666666E-3</v>
      </c>
      <c r="BC51">
        <f t="shared" si="27"/>
        <v>1.08</v>
      </c>
      <c r="BD51">
        <f t="shared" si="28"/>
        <v>78.402903811252273</v>
      </c>
      <c r="BE51" s="18">
        <f t="shared" si="29"/>
        <v>0.68181818181818188</v>
      </c>
    </row>
    <row r="52" spans="7:73" x14ac:dyDescent="0.25">
      <c r="M52" s="1">
        <f>AVERAGE(M39:M51)</f>
        <v>120.08376378612313</v>
      </c>
      <c r="AX52">
        <v>120</v>
      </c>
      <c r="AY52">
        <f>15</f>
        <v>15</v>
      </c>
      <c r="AZ52">
        <f>4.5</f>
        <v>4.5</v>
      </c>
      <c r="BA52">
        <f t="shared" si="25"/>
        <v>4.5000000000000005E-3</v>
      </c>
      <c r="BB52">
        <f t="shared" si="26"/>
        <v>4.1666666666666666E-3</v>
      </c>
      <c r="BC52">
        <f t="shared" si="27"/>
        <v>1.08</v>
      </c>
      <c r="BD52">
        <f t="shared" si="28"/>
        <v>78.402903811252273</v>
      </c>
      <c r="BE52" s="18">
        <f t="shared" si="29"/>
        <v>0.69230769230769229</v>
      </c>
    </row>
    <row r="53" spans="7:73" x14ac:dyDescent="0.25">
      <c r="BD53" s="1">
        <f>AVERAGE(BD40:BD52)</f>
        <v>75.052352366326957</v>
      </c>
      <c r="BE53" s="19"/>
    </row>
    <row r="62" spans="7:73" x14ac:dyDescent="0.25">
      <c r="T62" s="1" t="s">
        <v>4</v>
      </c>
      <c r="W62" s="1" t="s">
        <v>5</v>
      </c>
      <c r="Y62" s="1" t="s">
        <v>6</v>
      </c>
    </row>
    <row r="63" spans="7:73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20" t="s">
        <v>33</v>
      </c>
      <c r="AJ63" s="13" t="s">
        <v>23</v>
      </c>
      <c r="AK63" s="22" t="s">
        <v>42</v>
      </c>
      <c r="AX63" t="s">
        <v>0</v>
      </c>
      <c r="AY63" t="s">
        <v>1</v>
      </c>
      <c r="AZ63" t="s">
        <v>2</v>
      </c>
      <c r="BA63" s="17" t="s">
        <v>3</v>
      </c>
      <c r="BB63" s="13" t="s">
        <v>15</v>
      </c>
      <c r="BC63" s="13" t="s">
        <v>16</v>
      </c>
      <c r="BD63" s="13" t="s">
        <v>17</v>
      </c>
      <c r="BE63" s="13" t="s">
        <v>24</v>
      </c>
      <c r="BF63" s="22" t="s">
        <v>24</v>
      </c>
    </row>
    <row r="64" spans="7:73" hidden="1" x14ac:dyDescent="0.25">
      <c r="G64">
        <v>0</v>
      </c>
      <c r="H64">
        <f>15</f>
        <v>15</v>
      </c>
      <c r="I64">
        <v>7.1</v>
      </c>
      <c r="J64">
        <f t="shared" ref="J64:J76" si="30">I64*10^-3</f>
        <v>7.0999999999999995E-3</v>
      </c>
      <c r="K64">
        <f t="shared" ref="K64:K76" si="31">H64/3600</f>
        <v>4.1666666666666666E-3</v>
      </c>
      <c r="L64">
        <f t="shared" ref="L64:L76" si="32">J64/K64</f>
        <v>1.704</v>
      </c>
      <c r="M64">
        <f t="shared" ref="M64:M76" si="33"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21"/>
      <c r="AJ64" s="13"/>
      <c r="AX64" t="s">
        <v>0</v>
      </c>
      <c r="AY64" t="s">
        <v>1</v>
      </c>
      <c r="AZ64" t="s">
        <v>2</v>
      </c>
      <c r="BA64" s="17" t="s">
        <v>3</v>
      </c>
      <c r="BB64" s="13" t="s">
        <v>15</v>
      </c>
      <c r="BC64" s="13" t="s">
        <v>16</v>
      </c>
      <c r="BD64" s="13" t="s">
        <v>17</v>
      </c>
      <c r="BE64" t="s">
        <v>25</v>
      </c>
    </row>
    <row r="65" spans="7:58" x14ac:dyDescent="0.25">
      <c r="G65">
        <v>10</v>
      </c>
      <c r="H65">
        <f>15</f>
        <v>15</v>
      </c>
      <c r="I65">
        <v>7.1</v>
      </c>
      <c r="J65">
        <f t="shared" si="30"/>
        <v>7.0999999999999995E-3</v>
      </c>
      <c r="K65">
        <f t="shared" si="31"/>
        <v>4.1666666666666666E-3</v>
      </c>
      <c r="L65">
        <f t="shared" si="32"/>
        <v>1.704</v>
      </c>
      <c r="M65">
        <f t="shared" si="33"/>
        <v>123.70235934664245</v>
      </c>
      <c r="S65">
        <v>0</v>
      </c>
      <c r="T65">
        <f>9.51*10^3</f>
        <v>9510</v>
      </c>
      <c r="U65">
        <f>6.29</f>
        <v>6.29</v>
      </c>
      <c r="V65" s="15">
        <f>24</f>
        <v>24</v>
      </c>
      <c r="W65">
        <f>9.64*10^3</f>
        <v>9640</v>
      </c>
      <c r="X65">
        <f>6.32</f>
        <v>6.32</v>
      </c>
      <c r="Y65">
        <f>209.3</f>
        <v>209.3</v>
      </c>
      <c r="Z65">
        <f>0.1406</f>
        <v>0.1406</v>
      </c>
      <c r="AA65">
        <f>23</f>
        <v>23</v>
      </c>
      <c r="AB65">
        <v>2.1</v>
      </c>
      <c r="AC65">
        <f>15</f>
        <v>15</v>
      </c>
      <c r="AD65">
        <f t="shared" ref="AD65:AD73" si="34">AC65/3600</f>
        <v>4.1666666666666666E-3</v>
      </c>
      <c r="AE65">
        <f t="shared" ref="AE65:AE73" si="35">AB65*10^-3</f>
        <v>2.1000000000000003E-3</v>
      </c>
      <c r="AF65">
        <f t="shared" ref="AF65:AF73" si="36">AE65/AD65</f>
        <v>0.50400000000000011</v>
      </c>
      <c r="AG65">
        <f t="shared" ref="AG65:AG73" si="37">AE65/(AD65*$O$8)</f>
        <v>36.588021778584398</v>
      </c>
      <c r="AH65" s="15">
        <f>AG65*BS30</f>
        <v>37.86860254083485</v>
      </c>
      <c r="AI65" s="21">
        <f t="shared" ref="AI65:AI73" si="38">AH65/$AH$65</f>
        <v>1</v>
      </c>
      <c r="AJ65" s="18">
        <f t="shared" ref="AJ65:AJ73" si="39">($AH$65-AH65)/$AH$65</f>
        <v>0</v>
      </c>
      <c r="AK65" s="18">
        <f>(AH65-AH73)/AH65</f>
        <v>0.3021394064872327</v>
      </c>
      <c r="AX65">
        <v>0</v>
      </c>
      <c r="AY65">
        <f>15</f>
        <v>15</v>
      </c>
      <c r="AZ65">
        <f>7.1</f>
        <v>7.1</v>
      </c>
      <c r="BA65">
        <f t="shared" ref="BA65:BA77" si="40">AZ65*10^-3</f>
        <v>7.0999999999999995E-3</v>
      </c>
      <c r="BB65">
        <f t="shared" ref="BB65:BB77" si="41">AY65/3600</f>
        <v>4.1666666666666666E-3</v>
      </c>
      <c r="BC65">
        <f t="shared" ref="BC65:BC77" si="42">BA65/BB65</f>
        <v>1.704</v>
      </c>
      <c r="BD65">
        <f t="shared" ref="BD65:BD77" si="43">BA65/(BB65*$O$8)</f>
        <v>123.70235934664245</v>
      </c>
      <c r="BE65" s="18">
        <f t="shared" ref="BE65:BE77" si="44">(BD65/M65)</f>
        <v>1</v>
      </c>
      <c r="BF65" s="18">
        <f>BD78/M77</f>
        <v>0.74751929437706732</v>
      </c>
    </row>
    <row r="66" spans="7:58" x14ac:dyDescent="0.25">
      <c r="G66">
        <v>20</v>
      </c>
      <c r="H66">
        <f>15</f>
        <v>15</v>
      </c>
      <c r="I66">
        <v>7.2</v>
      </c>
      <c r="J66">
        <f t="shared" si="30"/>
        <v>7.2000000000000007E-3</v>
      </c>
      <c r="K66">
        <f t="shared" si="31"/>
        <v>4.1666666666666666E-3</v>
      </c>
      <c r="L66">
        <f t="shared" si="32"/>
        <v>1.7280000000000002</v>
      </c>
      <c r="M66">
        <f t="shared" si="33"/>
        <v>125.44464609800363</v>
      </c>
      <c r="S66">
        <v>30</v>
      </c>
      <c r="T66">
        <f>9.56*10^3</f>
        <v>9560</v>
      </c>
      <c r="U66">
        <v>6.32</v>
      </c>
      <c r="V66" s="15">
        <f>24.6</f>
        <v>24.6</v>
      </c>
      <c r="W66">
        <f>9.68*10^3</f>
        <v>9680</v>
      </c>
      <c r="X66">
        <f>6.29</f>
        <v>6.29</v>
      </c>
      <c r="Y66">
        <f>148.7</f>
        <v>148.69999999999999</v>
      </c>
      <c r="Z66">
        <f>0.0968</f>
        <v>9.6799999999999997E-2</v>
      </c>
      <c r="AA66">
        <f>23.6</f>
        <v>23.6</v>
      </c>
      <c r="AB66">
        <f>1.9</f>
        <v>1.9</v>
      </c>
      <c r="AC66">
        <f>15</f>
        <v>15</v>
      </c>
      <c r="AD66">
        <f t="shared" si="34"/>
        <v>4.1666666666666666E-3</v>
      </c>
      <c r="AE66">
        <f t="shared" si="35"/>
        <v>1.9E-3</v>
      </c>
      <c r="AF66">
        <f t="shared" si="36"/>
        <v>0.45600000000000002</v>
      </c>
      <c r="AG66">
        <f t="shared" si="37"/>
        <v>33.103448275862064</v>
      </c>
      <c r="AH66" s="15">
        <f>AG66*BS36</f>
        <v>33.566896551724135</v>
      </c>
      <c r="AI66" s="21">
        <f t="shared" si="38"/>
        <v>0.88640441683919924</v>
      </c>
      <c r="AJ66" s="18">
        <f t="shared" si="39"/>
        <v>0.11359558316080073</v>
      </c>
      <c r="AK66" s="18"/>
      <c r="AX66">
        <v>10</v>
      </c>
      <c r="AY66">
        <f>15</f>
        <v>15</v>
      </c>
      <c r="AZ66">
        <f>5.6</f>
        <v>5.6</v>
      </c>
      <c r="BA66">
        <f t="shared" si="40"/>
        <v>5.5999999999999999E-3</v>
      </c>
      <c r="BB66">
        <f t="shared" si="41"/>
        <v>4.1666666666666666E-3</v>
      </c>
      <c r="BC66">
        <f t="shared" si="42"/>
        <v>1.3440000000000001</v>
      </c>
      <c r="BD66">
        <f t="shared" si="43"/>
        <v>97.568058076225043</v>
      </c>
      <c r="BE66" s="18">
        <f t="shared" si="44"/>
        <v>0.77777777777777779</v>
      </c>
    </row>
    <row r="67" spans="7:58" x14ac:dyDescent="0.25">
      <c r="G67">
        <v>30</v>
      </c>
      <c r="H67">
        <f>15</f>
        <v>15</v>
      </c>
      <c r="I67">
        <v>7.2</v>
      </c>
      <c r="J67">
        <f t="shared" si="30"/>
        <v>7.2000000000000007E-3</v>
      </c>
      <c r="K67">
        <f t="shared" si="31"/>
        <v>4.1666666666666666E-3</v>
      </c>
      <c r="L67">
        <f t="shared" si="32"/>
        <v>1.7280000000000002</v>
      </c>
      <c r="M67">
        <f t="shared" si="33"/>
        <v>125.44464609800363</v>
      </c>
      <c r="S67">
        <v>60</v>
      </c>
      <c r="T67">
        <f>9.5*10^3</f>
        <v>9500</v>
      </c>
      <c r="U67">
        <f>6.4</f>
        <v>6.4</v>
      </c>
      <c r="V67" s="15">
        <f>25.4</f>
        <v>25.4</v>
      </c>
      <c r="W67">
        <f>9.94*10^3</f>
        <v>9940</v>
      </c>
      <c r="X67">
        <f>6.4</f>
        <v>6.4</v>
      </c>
      <c r="Y67">
        <f>125.3</f>
        <v>125.3</v>
      </c>
      <c r="Z67">
        <f>0.0837</f>
        <v>8.3699999999999997E-2</v>
      </c>
      <c r="AA67">
        <f>23.8</f>
        <v>23.8</v>
      </c>
      <c r="AB67">
        <f>1.9</f>
        <v>1.9</v>
      </c>
      <c r="AC67">
        <f>15</f>
        <v>15</v>
      </c>
      <c r="AD67">
        <f t="shared" si="34"/>
        <v>4.1666666666666666E-3</v>
      </c>
      <c r="AE67">
        <f t="shared" si="35"/>
        <v>1.9E-3</v>
      </c>
      <c r="AF67">
        <f t="shared" si="36"/>
        <v>0.45600000000000002</v>
      </c>
      <c r="AG67">
        <f t="shared" si="37"/>
        <v>33.103448275862064</v>
      </c>
      <c r="AH67" s="15">
        <f>AG67*BS44</f>
        <v>32.70620689655172</v>
      </c>
      <c r="AI67" s="21">
        <f t="shared" si="38"/>
        <v>0.86367609845870696</v>
      </c>
      <c r="AJ67" s="18">
        <f t="shared" si="39"/>
        <v>0.13632390154129306</v>
      </c>
      <c r="AX67">
        <v>20</v>
      </c>
      <c r="AY67">
        <f>15</f>
        <v>15</v>
      </c>
      <c r="AZ67">
        <f>6</f>
        <v>6</v>
      </c>
      <c r="BA67">
        <f t="shared" si="40"/>
        <v>6.0000000000000001E-3</v>
      </c>
      <c r="BB67">
        <f t="shared" si="41"/>
        <v>4.1666666666666666E-3</v>
      </c>
      <c r="BC67">
        <f t="shared" si="42"/>
        <v>1.44</v>
      </c>
      <c r="BD67">
        <f t="shared" si="43"/>
        <v>104.53720508166968</v>
      </c>
      <c r="BE67" s="18">
        <f t="shared" si="44"/>
        <v>0.83333333333333326</v>
      </c>
    </row>
    <row r="68" spans="7:58" x14ac:dyDescent="0.25">
      <c r="G68">
        <v>40</v>
      </c>
      <c r="H68">
        <f>15</f>
        <v>15</v>
      </c>
      <c r="I68">
        <v>7.2</v>
      </c>
      <c r="J68">
        <f t="shared" si="30"/>
        <v>7.2000000000000007E-3</v>
      </c>
      <c r="K68">
        <f t="shared" si="31"/>
        <v>4.1666666666666666E-3</v>
      </c>
      <c r="L68">
        <f t="shared" si="32"/>
        <v>1.7280000000000002</v>
      </c>
      <c r="M68">
        <f t="shared" si="33"/>
        <v>125.44464609800363</v>
      </c>
      <c r="S68">
        <v>90</v>
      </c>
      <c r="T68">
        <f>9.81*10^3</f>
        <v>9810</v>
      </c>
      <c r="U68">
        <f>6.28</f>
        <v>6.28</v>
      </c>
      <c r="V68" s="15">
        <f>25.8</f>
        <v>25.8</v>
      </c>
      <c r="W68">
        <f>10.03*10^3</f>
        <v>10030</v>
      </c>
      <c r="X68">
        <f>6.28</f>
        <v>6.28</v>
      </c>
      <c r="Y68">
        <f>146</f>
        <v>146</v>
      </c>
      <c r="Z68">
        <f>0.09</f>
        <v>0.09</v>
      </c>
      <c r="AA68">
        <f>24.1</f>
        <v>24.1</v>
      </c>
      <c r="AB68">
        <f>2.4</f>
        <v>2.4</v>
      </c>
      <c r="AC68">
        <f>15</f>
        <v>15</v>
      </c>
      <c r="AD68">
        <f t="shared" si="34"/>
        <v>4.1666666666666666E-3</v>
      </c>
      <c r="AE68">
        <f t="shared" si="35"/>
        <v>2.3999999999999998E-3</v>
      </c>
      <c r="AF68">
        <f t="shared" si="36"/>
        <v>0.57599999999999996</v>
      </c>
      <c r="AG68">
        <f t="shared" si="37"/>
        <v>41.814882032667867</v>
      </c>
      <c r="AH68" s="15">
        <f>AG68*BS48</f>
        <v>40.853139745916508</v>
      </c>
      <c r="AI68" s="21">
        <f t="shared" si="38"/>
        <v>1.078812974465148</v>
      </c>
      <c r="AJ68" s="18">
        <f t="shared" si="39"/>
        <v>-7.8812974465148053E-2</v>
      </c>
      <c r="AX68">
        <v>30</v>
      </c>
      <c r="AY68">
        <f>15</f>
        <v>15</v>
      </c>
      <c r="AZ68">
        <f>5.6</f>
        <v>5.6</v>
      </c>
      <c r="BA68">
        <f t="shared" si="40"/>
        <v>5.5999999999999999E-3</v>
      </c>
      <c r="BB68">
        <f t="shared" si="41"/>
        <v>4.1666666666666666E-3</v>
      </c>
      <c r="BC68">
        <f t="shared" si="42"/>
        <v>1.3440000000000001</v>
      </c>
      <c r="BD68">
        <f t="shared" si="43"/>
        <v>97.568058076225043</v>
      </c>
      <c r="BE68" s="18">
        <f t="shared" si="44"/>
        <v>0.77777777777777779</v>
      </c>
    </row>
    <row r="69" spans="7:58" x14ac:dyDescent="0.25">
      <c r="G69">
        <v>50</v>
      </c>
      <c r="H69">
        <f>15</f>
        <v>15</v>
      </c>
      <c r="I69">
        <v>7</v>
      </c>
      <c r="J69">
        <f t="shared" si="30"/>
        <v>7.0000000000000001E-3</v>
      </c>
      <c r="K69">
        <f t="shared" si="31"/>
        <v>4.1666666666666666E-3</v>
      </c>
      <c r="L69">
        <f t="shared" si="32"/>
        <v>1.6800000000000002</v>
      </c>
      <c r="M69">
        <f t="shared" si="33"/>
        <v>121.9600725952813</v>
      </c>
      <c r="S69">
        <v>120</v>
      </c>
      <c r="T69">
        <f>10.35*10^3</f>
        <v>10350</v>
      </c>
      <c r="U69">
        <f>6.33</f>
        <v>6.33</v>
      </c>
      <c r="V69" s="15">
        <f>26.1</f>
        <v>26.1</v>
      </c>
      <c r="W69">
        <f>10.1*10^3</f>
        <v>10100</v>
      </c>
      <c r="X69">
        <f>6.33</f>
        <v>6.33</v>
      </c>
      <c r="Y69">
        <f>146.2</f>
        <v>146.19999999999999</v>
      </c>
      <c r="Z69">
        <f>0.0968</f>
        <v>9.6799999999999997E-2</v>
      </c>
      <c r="AA69">
        <f>24.1</f>
        <v>24.1</v>
      </c>
      <c r="AB69">
        <f>2</f>
        <v>2</v>
      </c>
      <c r="AC69">
        <f>15</f>
        <v>15</v>
      </c>
      <c r="AD69">
        <f t="shared" si="34"/>
        <v>4.1666666666666666E-3</v>
      </c>
      <c r="AE69">
        <f t="shared" si="35"/>
        <v>2E-3</v>
      </c>
      <c r="AF69">
        <f t="shared" si="36"/>
        <v>0.48000000000000004</v>
      </c>
      <c r="AG69">
        <f t="shared" si="37"/>
        <v>34.845735027223228</v>
      </c>
      <c r="AH69" s="15">
        <f>AG69*BU11</f>
        <v>33.730671506352081</v>
      </c>
      <c r="AI69" s="21">
        <f t="shared" si="38"/>
        <v>0.89072923855532526</v>
      </c>
      <c r="AJ69" s="18">
        <f t="shared" si="39"/>
        <v>0.10927076144467474</v>
      </c>
      <c r="AX69">
        <v>40</v>
      </c>
      <c r="AY69">
        <f>15</f>
        <v>15</v>
      </c>
      <c r="AZ69">
        <f>5.7</f>
        <v>5.7</v>
      </c>
      <c r="BA69">
        <f t="shared" si="40"/>
        <v>5.7000000000000002E-3</v>
      </c>
      <c r="BB69">
        <f t="shared" si="41"/>
        <v>4.1666666666666666E-3</v>
      </c>
      <c r="BC69">
        <f t="shared" si="42"/>
        <v>1.3680000000000001</v>
      </c>
      <c r="BD69">
        <f t="shared" si="43"/>
        <v>99.310344827586206</v>
      </c>
      <c r="BE69" s="18">
        <f t="shared" si="44"/>
        <v>0.81428571428571428</v>
      </c>
    </row>
    <row r="70" spans="7:58" x14ac:dyDescent="0.25">
      <c r="G70">
        <v>60</v>
      </c>
      <c r="H70">
        <f>15</f>
        <v>15</v>
      </c>
      <c r="I70">
        <v>6.9</v>
      </c>
      <c r="J70">
        <f t="shared" si="30"/>
        <v>6.9000000000000008E-3</v>
      </c>
      <c r="K70">
        <f t="shared" si="31"/>
        <v>4.1666666666666666E-3</v>
      </c>
      <c r="L70">
        <f t="shared" si="32"/>
        <v>1.6560000000000001</v>
      </c>
      <c r="M70">
        <f t="shared" si="33"/>
        <v>120.21778584392015</v>
      </c>
      <c r="S70">
        <v>150</v>
      </c>
      <c r="T70">
        <f>10.03*10^3</f>
        <v>10030</v>
      </c>
      <c r="U70">
        <f>6.34</f>
        <v>6.34</v>
      </c>
      <c r="V70" s="15">
        <f>26.6</f>
        <v>26.6</v>
      </c>
      <c r="W70">
        <f>10.14*10^3</f>
        <v>10140</v>
      </c>
      <c r="X70">
        <f>6.34</f>
        <v>6.34</v>
      </c>
      <c r="Y70">
        <f>142</f>
        <v>142</v>
      </c>
      <c r="Z70">
        <f>0.0939</f>
        <v>9.3899999999999997E-2</v>
      </c>
      <c r="AA70">
        <f>24</f>
        <v>24</v>
      </c>
      <c r="AB70">
        <f>2</f>
        <v>2</v>
      </c>
      <c r="AC70">
        <f>15</f>
        <v>15</v>
      </c>
      <c r="AD70">
        <f t="shared" si="34"/>
        <v>4.1666666666666666E-3</v>
      </c>
      <c r="AE70">
        <f t="shared" si="35"/>
        <v>2E-3</v>
      </c>
      <c r="AF70">
        <f t="shared" si="36"/>
        <v>0.48000000000000004</v>
      </c>
      <c r="AG70">
        <f t="shared" si="37"/>
        <v>34.845735027223228</v>
      </c>
      <c r="AH70" s="15">
        <f>AG70*BU16</f>
        <v>33.242831215970959</v>
      </c>
      <c r="AI70" s="21">
        <f t="shared" si="38"/>
        <v>0.87784679089026896</v>
      </c>
      <c r="AJ70" s="18">
        <f t="shared" si="39"/>
        <v>0.12215320910973101</v>
      </c>
      <c r="AX70">
        <v>50</v>
      </c>
      <c r="AY70">
        <f>15</f>
        <v>15</v>
      </c>
      <c r="AZ70">
        <f>5</f>
        <v>5</v>
      </c>
      <c r="BA70">
        <f t="shared" si="40"/>
        <v>5.0000000000000001E-3</v>
      </c>
      <c r="BB70">
        <f t="shared" si="41"/>
        <v>4.1666666666666666E-3</v>
      </c>
      <c r="BC70">
        <f t="shared" si="42"/>
        <v>1.2</v>
      </c>
      <c r="BD70">
        <f t="shared" si="43"/>
        <v>87.114337568058076</v>
      </c>
      <c r="BE70" s="18">
        <f t="shared" si="44"/>
        <v>0.72463768115942029</v>
      </c>
    </row>
    <row r="71" spans="7:58" x14ac:dyDescent="0.25">
      <c r="G71">
        <v>70</v>
      </c>
      <c r="H71">
        <f>15</f>
        <v>15</v>
      </c>
      <c r="I71">
        <v>6.9</v>
      </c>
      <c r="J71">
        <f t="shared" si="30"/>
        <v>6.9000000000000008E-3</v>
      </c>
      <c r="K71">
        <f t="shared" si="31"/>
        <v>4.1666666666666666E-3</v>
      </c>
      <c r="L71">
        <f t="shared" si="32"/>
        <v>1.6560000000000001</v>
      </c>
      <c r="M71">
        <f t="shared" si="33"/>
        <v>120.21778584392015</v>
      </c>
      <c r="S71">
        <v>180</v>
      </c>
      <c r="T71">
        <f>10.22*10^3</f>
        <v>10220</v>
      </c>
      <c r="U71">
        <f>6.42</f>
        <v>6.42</v>
      </c>
      <c r="V71" s="15">
        <f>26.3</f>
        <v>26.3</v>
      </c>
      <c r="W71">
        <f>10.32*10^3</f>
        <v>10320</v>
      </c>
      <c r="X71">
        <f>6.42</f>
        <v>6.42</v>
      </c>
      <c r="Y71">
        <f>170.8</f>
        <v>170.8</v>
      </c>
      <c r="Z71">
        <f>0.1126</f>
        <v>0.11260000000000001</v>
      </c>
      <c r="AA71">
        <f>24</f>
        <v>24</v>
      </c>
      <c r="AB71">
        <v>1.9</v>
      </c>
      <c r="AC71">
        <f>15</f>
        <v>15</v>
      </c>
      <c r="AD71">
        <f t="shared" si="34"/>
        <v>4.1666666666666666E-3</v>
      </c>
      <c r="AE71">
        <f t="shared" si="35"/>
        <v>1.9E-3</v>
      </c>
      <c r="AF71">
        <f t="shared" si="36"/>
        <v>0.45600000000000002</v>
      </c>
      <c r="AG71">
        <f t="shared" si="37"/>
        <v>33.103448275862064</v>
      </c>
      <c r="AH71" s="15">
        <f>AG71*BU13</f>
        <v>31.845517241379305</v>
      </c>
      <c r="AI71" s="21">
        <f t="shared" si="38"/>
        <v>0.84094778007821458</v>
      </c>
      <c r="AJ71" s="18">
        <f t="shared" si="39"/>
        <v>0.15905221992178536</v>
      </c>
      <c r="AX71">
        <v>60</v>
      </c>
      <c r="AY71">
        <f>15</f>
        <v>15</v>
      </c>
      <c r="AZ71">
        <f>4.8</f>
        <v>4.8</v>
      </c>
      <c r="BA71">
        <f t="shared" si="40"/>
        <v>4.7999999999999996E-3</v>
      </c>
      <c r="BB71">
        <f t="shared" si="41"/>
        <v>4.1666666666666666E-3</v>
      </c>
      <c r="BC71">
        <f t="shared" si="42"/>
        <v>1.1519999999999999</v>
      </c>
      <c r="BD71">
        <f t="shared" si="43"/>
        <v>83.629764065335735</v>
      </c>
      <c r="BE71" s="18">
        <f t="shared" si="44"/>
        <v>0.69565217391304324</v>
      </c>
    </row>
    <row r="72" spans="7:58" x14ac:dyDescent="0.25">
      <c r="G72">
        <v>80</v>
      </c>
      <c r="H72">
        <f>15</f>
        <v>15</v>
      </c>
      <c r="I72">
        <v>6.9</v>
      </c>
      <c r="J72">
        <f t="shared" si="30"/>
        <v>6.9000000000000008E-3</v>
      </c>
      <c r="K72">
        <f t="shared" si="31"/>
        <v>4.1666666666666666E-3</v>
      </c>
      <c r="L72">
        <f t="shared" si="32"/>
        <v>1.6560000000000001</v>
      </c>
      <c r="M72">
        <f t="shared" si="33"/>
        <v>120.21778584392015</v>
      </c>
      <c r="S72">
        <v>210</v>
      </c>
      <c r="T72">
        <f>9.85*10^3</f>
        <v>9850</v>
      </c>
      <c r="U72">
        <f>6.28</f>
        <v>6.28</v>
      </c>
      <c r="V72" s="15">
        <f>26.5</f>
        <v>26.5</v>
      </c>
      <c r="W72">
        <f>10.06*10^3</f>
        <v>10060</v>
      </c>
      <c r="X72">
        <f>6.28</f>
        <v>6.28</v>
      </c>
      <c r="Y72">
        <f>164.6</f>
        <v>164.6</v>
      </c>
      <c r="Z72">
        <f>0.109</f>
        <v>0.109</v>
      </c>
      <c r="AA72">
        <f>24</f>
        <v>24</v>
      </c>
      <c r="AB72">
        <v>1.8</v>
      </c>
      <c r="AC72">
        <f>15</f>
        <v>15</v>
      </c>
      <c r="AD72">
        <f t="shared" si="34"/>
        <v>4.1666666666666666E-3</v>
      </c>
      <c r="AE72">
        <f t="shared" si="35"/>
        <v>1.8000000000000002E-3</v>
      </c>
      <c r="AF72">
        <f t="shared" si="36"/>
        <v>0.43200000000000005</v>
      </c>
      <c r="AG72">
        <f t="shared" si="37"/>
        <v>31.361161524500908</v>
      </c>
      <c r="AH72" s="15">
        <f>AG72*BU15</f>
        <v>30.012631578947367</v>
      </c>
      <c r="AI72" s="21">
        <f t="shared" si="38"/>
        <v>0.79254658385093157</v>
      </c>
      <c r="AJ72" s="18">
        <f t="shared" si="39"/>
        <v>0.20745341614906845</v>
      </c>
      <c r="AX72">
        <v>70</v>
      </c>
      <c r="AY72">
        <f>15</f>
        <v>15</v>
      </c>
      <c r="AZ72">
        <f>5.1</f>
        <v>5.0999999999999996</v>
      </c>
      <c r="BA72">
        <f t="shared" si="40"/>
        <v>5.0999999999999995E-3</v>
      </c>
      <c r="BB72">
        <f t="shared" si="41"/>
        <v>4.1666666666666666E-3</v>
      </c>
      <c r="BC72">
        <f t="shared" si="42"/>
        <v>1.224</v>
      </c>
      <c r="BD72">
        <f t="shared" si="43"/>
        <v>88.856624319419225</v>
      </c>
      <c r="BE72" s="18">
        <f t="shared" si="44"/>
        <v>0.73913043478260854</v>
      </c>
    </row>
    <row r="73" spans="7:58" x14ac:dyDescent="0.25">
      <c r="G73">
        <v>90</v>
      </c>
      <c r="H73">
        <v>15</v>
      </c>
      <c r="I73">
        <v>6.9</v>
      </c>
      <c r="J73">
        <f t="shared" si="30"/>
        <v>6.9000000000000008E-3</v>
      </c>
      <c r="K73">
        <f t="shared" si="31"/>
        <v>4.1666666666666666E-3</v>
      </c>
      <c r="L73">
        <f t="shared" si="32"/>
        <v>1.6560000000000001</v>
      </c>
      <c r="M73">
        <f t="shared" si="33"/>
        <v>120.21778584392015</v>
      </c>
      <c r="S73">
        <v>240</v>
      </c>
      <c r="T73">
        <f>10.28*10^3</f>
        <v>10280</v>
      </c>
      <c r="U73">
        <f>6.36</f>
        <v>6.36</v>
      </c>
      <c r="V73" s="15">
        <v>26.9</v>
      </c>
      <c r="W73">
        <f>10.16*10^3</f>
        <v>10160</v>
      </c>
      <c r="X73">
        <f>6.36</f>
        <v>6.36</v>
      </c>
      <c r="Y73">
        <v>170.9</v>
      </c>
      <c r="Z73">
        <f>0.1137</f>
        <v>0.1137</v>
      </c>
      <c r="AA73">
        <f>23.8</f>
        <v>23.8</v>
      </c>
      <c r="AB73">
        <v>1.6</v>
      </c>
      <c r="AC73">
        <f>15</f>
        <v>15</v>
      </c>
      <c r="AD73">
        <f t="shared" si="34"/>
        <v>4.1666666666666666E-3</v>
      </c>
      <c r="AE73">
        <f t="shared" si="35"/>
        <v>1.6000000000000001E-3</v>
      </c>
      <c r="AF73">
        <f t="shared" si="36"/>
        <v>0.38400000000000001</v>
      </c>
      <c r="AG73">
        <f t="shared" si="37"/>
        <v>27.876588021778584</v>
      </c>
      <c r="AH73" s="15">
        <f>AG73*BU18</f>
        <v>26.427005444646095</v>
      </c>
      <c r="AI73" s="21">
        <f t="shared" si="38"/>
        <v>0.6978605935127673</v>
      </c>
      <c r="AJ73" s="18">
        <f t="shared" si="39"/>
        <v>0.3021394064872327</v>
      </c>
      <c r="AX73">
        <v>80</v>
      </c>
      <c r="AY73">
        <f>15</f>
        <v>15</v>
      </c>
      <c r="AZ73">
        <f>4.8</f>
        <v>4.8</v>
      </c>
      <c r="BA73">
        <f t="shared" si="40"/>
        <v>4.7999999999999996E-3</v>
      </c>
      <c r="BB73">
        <f t="shared" si="41"/>
        <v>4.1666666666666666E-3</v>
      </c>
      <c r="BC73">
        <f t="shared" si="42"/>
        <v>1.1519999999999999</v>
      </c>
      <c r="BD73">
        <f t="shared" si="43"/>
        <v>83.629764065335735</v>
      </c>
      <c r="BE73" s="18">
        <f t="shared" si="44"/>
        <v>0.69565217391304324</v>
      </c>
    </row>
    <row r="74" spans="7:58" x14ac:dyDescent="0.25">
      <c r="G74">
        <v>100</v>
      </c>
      <c r="H74">
        <v>15</v>
      </c>
      <c r="I74">
        <v>6.9</v>
      </c>
      <c r="J74">
        <f t="shared" si="30"/>
        <v>6.9000000000000008E-3</v>
      </c>
      <c r="K74">
        <f t="shared" si="31"/>
        <v>4.1666666666666666E-3</v>
      </c>
      <c r="L74">
        <f t="shared" si="32"/>
        <v>1.6560000000000001</v>
      </c>
      <c r="M74">
        <f t="shared" si="33"/>
        <v>120.21778584392015</v>
      </c>
      <c r="AG74" s="1">
        <f>AVERAGE(AG65:AG73)</f>
        <v>34.071385359951591</v>
      </c>
      <c r="AH74" s="16">
        <f>AVERAGE(AH65:AH73)</f>
        <v>33.361500302480337</v>
      </c>
      <c r="AI74" s="16"/>
      <c r="AJ74" s="19"/>
      <c r="AX74">
        <v>90</v>
      </c>
      <c r="AY74">
        <f>15</f>
        <v>15</v>
      </c>
      <c r="AZ74">
        <f>4.7</f>
        <v>4.7</v>
      </c>
      <c r="BA74">
        <f t="shared" si="40"/>
        <v>4.7000000000000002E-3</v>
      </c>
      <c r="BB74">
        <f t="shared" si="41"/>
        <v>4.1666666666666666E-3</v>
      </c>
      <c r="BC74">
        <f t="shared" si="42"/>
        <v>1.1280000000000001</v>
      </c>
      <c r="BD74">
        <f t="shared" si="43"/>
        <v>81.887477313974586</v>
      </c>
      <c r="BE74" s="18">
        <f t="shared" si="44"/>
        <v>0.68115942028985499</v>
      </c>
    </row>
    <row r="75" spans="7:58" x14ac:dyDescent="0.25">
      <c r="G75">
        <v>110</v>
      </c>
      <c r="H75">
        <v>15</v>
      </c>
      <c r="I75">
        <v>6.7</v>
      </c>
      <c r="J75">
        <f t="shared" si="30"/>
        <v>6.7000000000000002E-3</v>
      </c>
      <c r="K75">
        <f t="shared" si="31"/>
        <v>4.1666666666666666E-3</v>
      </c>
      <c r="L75">
        <f t="shared" si="32"/>
        <v>1.6080000000000001</v>
      </c>
      <c r="M75">
        <f t="shared" si="33"/>
        <v>116.73321234119781</v>
      </c>
      <c r="AX75">
        <v>100</v>
      </c>
      <c r="AY75">
        <f>15</f>
        <v>15</v>
      </c>
      <c r="AZ75">
        <f>4.8</f>
        <v>4.8</v>
      </c>
      <c r="BA75">
        <f t="shared" si="40"/>
        <v>4.7999999999999996E-3</v>
      </c>
      <c r="BB75">
        <f t="shared" si="41"/>
        <v>4.1666666666666666E-3</v>
      </c>
      <c r="BC75">
        <f t="shared" si="42"/>
        <v>1.1519999999999999</v>
      </c>
      <c r="BD75">
        <f t="shared" si="43"/>
        <v>83.629764065335735</v>
      </c>
      <c r="BE75" s="18">
        <f t="shared" si="44"/>
        <v>0.71641791044776104</v>
      </c>
    </row>
    <row r="76" spans="7:58" x14ac:dyDescent="0.25">
      <c r="G76">
        <v>120</v>
      </c>
      <c r="H76">
        <v>15</v>
      </c>
      <c r="I76">
        <v>6.7</v>
      </c>
      <c r="J76">
        <f t="shared" si="30"/>
        <v>6.7000000000000002E-3</v>
      </c>
      <c r="K76">
        <f t="shared" si="31"/>
        <v>4.1666666666666666E-3</v>
      </c>
      <c r="L76">
        <f t="shared" si="32"/>
        <v>1.6080000000000001</v>
      </c>
      <c r="M76">
        <f t="shared" si="33"/>
        <v>116.73321234119781</v>
      </c>
      <c r="AX76">
        <v>110</v>
      </c>
      <c r="AY76">
        <f>15</f>
        <v>15</v>
      </c>
      <c r="AZ76">
        <f>4.6</f>
        <v>4.5999999999999996</v>
      </c>
      <c r="BA76">
        <f t="shared" si="40"/>
        <v>4.5999999999999999E-3</v>
      </c>
      <c r="BB76">
        <f t="shared" si="41"/>
        <v>4.1666666666666666E-3</v>
      </c>
      <c r="BC76">
        <f t="shared" si="42"/>
        <v>1.1040000000000001</v>
      </c>
      <c r="BD76">
        <f t="shared" si="43"/>
        <v>80.145190562613422</v>
      </c>
      <c r="BE76" s="18">
        <f t="shared" si="44"/>
        <v>0.68656716417910446</v>
      </c>
    </row>
    <row r="77" spans="7:58" x14ac:dyDescent="0.25">
      <c r="M77" s="1">
        <f>AVERAGE(M64:M76)</f>
        <v>121.55800642189025</v>
      </c>
      <c r="AX77">
        <v>120</v>
      </c>
      <c r="AY77">
        <f>15</f>
        <v>15</v>
      </c>
      <c r="AZ77">
        <f>4</f>
        <v>4</v>
      </c>
      <c r="BA77">
        <f t="shared" si="40"/>
        <v>4.0000000000000001E-3</v>
      </c>
      <c r="BB77">
        <f t="shared" si="41"/>
        <v>4.1666666666666666E-3</v>
      </c>
      <c r="BC77">
        <f t="shared" si="42"/>
        <v>0.96000000000000008</v>
      </c>
      <c r="BD77">
        <f t="shared" si="43"/>
        <v>69.691470054446455</v>
      </c>
      <c r="BE77" s="18">
        <f t="shared" si="44"/>
        <v>0.57331863285556783</v>
      </c>
    </row>
    <row r="78" spans="7:58" x14ac:dyDescent="0.25">
      <c r="BD78" s="1">
        <f>AVERAGE(BD65:BD77)</f>
        <v>90.866955186374426</v>
      </c>
      <c r="BE78" s="19"/>
    </row>
    <row r="87" spans="7:58" x14ac:dyDescent="0.25">
      <c r="BE87" s="13"/>
    </row>
    <row r="88" spans="7:58" x14ac:dyDescent="0.25">
      <c r="AX88" t="s">
        <v>0</v>
      </c>
      <c r="AY88" t="s">
        <v>1</v>
      </c>
      <c r="AZ88" t="s">
        <v>2</v>
      </c>
      <c r="BA88" s="17" t="s">
        <v>3</v>
      </c>
      <c r="BB88" s="13" t="s">
        <v>15</v>
      </c>
      <c r="BC88" s="13" t="s">
        <v>16</v>
      </c>
      <c r="BD88" s="13" t="s">
        <v>17</v>
      </c>
      <c r="BE88" s="13" t="s">
        <v>24</v>
      </c>
      <c r="BF88" s="22" t="s">
        <v>43</v>
      </c>
    </row>
    <row r="89" spans="7:58" x14ac:dyDescent="0.25">
      <c r="G89" s="1" t="s">
        <v>0</v>
      </c>
      <c r="H89" s="1" t="s">
        <v>1</v>
      </c>
      <c r="I89" s="1" t="s">
        <v>2</v>
      </c>
      <c r="J89" s="13" t="s">
        <v>3</v>
      </c>
      <c r="K89" s="13" t="s">
        <v>15</v>
      </c>
      <c r="L89" s="13" t="s">
        <v>16</v>
      </c>
      <c r="M89" s="13" t="s">
        <v>17</v>
      </c>
      <c r="T89" s="1" t="s">
        <v>4</v>
      </c>
      <c r="U89" s="1"/>
      <c r="V89" s="1"/>
      <c r="W89" s="1" t="s">
        <v>5</v>
      </c>
      <c r="X89" s="1"/>
      <c r="Y89" s="1" t="s">
        <v>6</v>
      </c>
      <c r="Z89" s="1"/>
      <c r="AX89">
        <v>0</v>
      </c>
      <c r="AY89">
        <f>15</f>
        <v>15</v>
      </c>
      <c r="AZ89">
        <v>5.2</v>
      </c>
      <c r="BA89">
        <f t="shared" ref="BA89:BA101" si="45">AZ89*10^-3</f>
        <v>5.2000000000000006E-3</v>
      </c>
      <c r="BB89">
        <f t="shared" ref="BB89:BB101" si="46">AY89/3600</f>
        <v>4.1666666666666666E-3</v>
      </c>
      <c r="BC89">
        <f t="shared" ref="BC89:BC101" si="47">BA89/BB89</f>
        <v>1.2480000000000002</v>
      </c>
      <c r="BD89">
        <f t="shared" ref="BD89:BD101" si="48">BA89/(BB89*$O$8)</f>
        <v>90.598911070780403</v>
      </c>
      <c r="BE89" s="18">
        <f>(BD89/M91)</f>
        <v>0.74285714285714288</v>
      </c>
      <c r="BF89" s="18">
        <f>BD102/M103</f>
        <v>0.71237458193979941</v>
      </c>
    </row>
    <row r="90" spans="7:58" x14ac:dyDescent="0.25">
      <c r="G90">
        <v>0</v>
      </c>
      <c r="H90">
        <f>15</f>
        <v>15</v>
      </c>
      <c r="I90">
        <v>7</v>
      </c>
      <c r="J90">
        <f t="shared" ref="J90:J102" si="49">I90*10^-3</f>
        <v>7.0000000000000001E-3</v>
      </c>
      <c r="K90">
        <f t="shared" ref="K90:K102" si="50">H90/3600</f>
        <v>4.1666666666666666E-3</v>
      </c>
      <c r="L90">
        <f t="shared" ref="L90:L102" si="51">J90/K90</f>
        <v>1.6800000000000002</v>
      </c>
      <c r="M90">
        <f t="shared" ref="M90:M102" si="52">J90/(K90*$O$8)</f>
        <v>121.9600725952813</v>
      </c>
      <c r="S90" t="s">
        <v>0</v>
      </c>
      <c r="T90" t="s">
        <v>7</v>
      </c>
      <c r="U90" t="s">
        <v>8</v>
      </c>
      <c r="V90" s="15" t="s">
        <v>9</v>
      </c>
      <c r="W90" t="s">
        <v>7</v>
      </c>
      <c r="X90" t="s">
        <v>8</v>
      </c>
      <c r="Y90" t="s">
        <v>7</v>
      </c>
      <c r="Z90" t="s">
        <v>8</v>
      </c>
      <c r="AA90" t="s">
        <v>9</v>
      </c>
      <c r="AB90" t="s">
        <v>10</v>
      </c>
      <c r="AC90" t="s">
        <v>1</v>
      </c>
      <c r="AD90" s="13" t="s">
        <v>15</v>
      </c>
      <c r="AE90" s="13" t="s">
        <v>19</v>
      </c>
      <c r="AF90" s="13" t="s">
        <v>20</v>
      </c>
      <c r="AG90" s="13" t="s">
        <v>21</v>
      </c>
      <c r="AH90" s="14" t="s">
        <v>22</v>
      </c>
      <c r="AI90" s="20" t="s">
        <v>33</v>
      </c>
      <c r="AJ90" s="13" t="s">
        <v>23</v>
      </c>
      <c r="AK90" s="22" t="s">
        <v>23</v>
      </c>
      <c r="AX90">
        <v>10</v>
      </c>
      <c r="AY90">
        <f>15</f>
        <v>15</v>
      </c>
      <c r="AZ90">
        <v>5.0999999999999996</v>
      </c>
      <c r="BA90">
        <f t="shared" si="45"/>
        <v>5.0999999999999995E-3</v>
      </c>
      <c r="BB90">
        <f t="shared" si="46"/>
        <v>4.1666666666666666E-3</v>
      </c>
      <c r="BC90">
        <f t="shared" si="47"/>
        <v>1.224</v>
      </c>
      <c r="BD90">
        <f t="shared" si="48"/>
        <v>88.856624319419225</v>
      </c>
      <c r="BE90" s="18">
        <f t="shared" ref="BE90:BE101" si="53">(BD91/M92)</f>
        <v>0.70000000000000007</v>
      </c>
      <c r="BF90" s="18"/>
    </row>
    <row r="91" spans="7:58" x14ac:dyDescent="0.25">
      <c r="G91">
        <v>10</v>
      </c>
      <c r="H91">
        <f>15</f>
        <v>15</v>
      </c>
      <c r="I91">
        <v>7</v>
      </c>
      <c r="J91">
        <f t="shared" si="49"/>
        <v>7.0000000000000001E-3</v>
      </c>
      <c r="K91">
        <f t="shared" si="50"/>
        <v>4.1666666666666666E-3</v>
      </c>
      <c r="L91">
        <f t="shared" si="51"/>
        <v>1.6800000000000002</v>
      </c>
      <c r="M91">
        <f t="shared" si="52"/>
        <v>121.9600725952813</v>
      </c>
      <c r="S91">
        <v>0</v>
      </c>
      <c r="T91">
        <f>8.31*10^3</f>
        <v>8310</v>
      </c>
      <c r="U91">
        <f>5.92</f>
        <v>5.92</v>
      </c>
      <c r="V91" s="15">
        <v>24</v>
      </c>
      <c r="W91">
        <f>8.2*10^3</f>
        <v>8200</v>
      </c>
      <c r="X91">
        <f>5.11</f>
        <v>5.1100000000000003</v>
      </c>
      <c r="Y91">
        <f>192</f>
        <v>192</v>
      </c>
      <c r="Z91">
        <v>8.9300000000000004E-2</v>
      </c>
      <c r="AA91">
        <v>23.3</v>
      </c>
      <c r="AB91">
        <v>2.7</v>
      </c>
      <c r="AC91">
        <f>15</f>
        <v>15</v>
      </c>
      <c r="AD91">
        <f t="shared" ref="AD91:AD99" si="54">AC91/3600</f>
        <v>4.1666666666666666E-3</v>
      </c>
      <c r="AE91">
        <f t="shared" ref="AE91:AE99" si="55">AB91*10^-3</f>
        <v>2.7000000000000001E-3</v>
      </c>
      <c r="AF91">
        <f t="shared" ref="AF91:AF99" si="56">AE91/AD91</f>
        <v>0.64800000000000002</v>
      </c>
      <c r="AG91">
        <f t="shared" ref="AG91:AG99" si="57">AE91/(AD91*$O$8)</f>
        <v>47.041742286751358</v>
      </c>
      <c r="AH91" s="15">
        <f>AG91*BS30</f>
        <v>48.688203266787653</v>
      </c>
      <c r="AI91" s="21">
        <f t="shared" ref="AI91:AI99" si="58">AH91/$AH$91</f>
        <v>1</v>
      </c>
      <c r="AJ91" s="18">
        <f t="shared" ref="AJ91:AJ99" si="59">($AH$91-AH91)/$AH$91</f>
        <v>0</v>
      </c>
      <c r="AK91" s="18">
        <f>(AH91-AH99)/AH91</f>
        <v>0.2379316514582214</v>
      </c>
      <c r="AX91">
        <v>20</v>
      </c>
      <c r="AY91">
        <f>15</f>
        <v>15</v>
      </c>
      <c r="AZ91">
        <v>4.9000000000000004</v>
      </c>
      <c r="BA91">
        <f t="shared" si="45"/>
        <v>4.9000000000000007E-3</v>
      </c>
      <c r="BB91">
        <f t="shared" si="46"/>
        <v>4.1666666666666666E-3</v>
      </c>
      <c r="BC91">
        <f t="shared" si="47"/>
        <v>1.1760000000000002</v>
      </c>
      <c r="BD91">
        <f t="shared" si="48"/>
        <v>85.372050816696927</v>
      </c>
      <c r="BE91" s="18">
        <f t="shared" si="53"/>
        <v>0.73529411764705899</v>
      </c>
    </row>
    <row r="92" spans="7:58" x14ac:dyDescent="0.25">
      <c r="G92">
        <v>20</v>
      </c>
      <c r="H92">
        <f>15</f>
        <v>15</v>
      </c>
      <c r="I92">
        <v>7</v>
      </c>
      <c r="J92">
        <f t="shared" si="49"/>
        <v>7.0000000000000001E-3</v>
      </c>
      <c r="K92">
        <f t="shared" si="50"/>
        <v>4.1666666666666666E-3</v>
      </c>
      <c r="L92">
        <f t="shared" si="51"/>
        <v>1.6800000000000002</v>
      </c>
      <c r="M92">
        <f t="shared" si="52"/>
        <v>121.9600725952813</v>
      </c>
      <c r="S92">
        <v>30</v>
      </c>
      <c r="T92">
        <f>8.7*10^3</f>
        <v>8700</v>
      </c>
      <c r="U92">
        <f>6.11</f>
        <v>6.11</v>
      </c>
      <c r="V92" s="15">
        <v>24.2</v>
      </c>
      <c r="W92">
        <f>8.8*10^3</f>
        <v>8800</v>
      </c>
      <c r="X92">
        <f>5.42</f>
        <v>5.42</v>
      </c>
      <c r="Y92">
        <f>178.3</f>
        <v>178.3</v>
      </c>
      <c r="Z92">
        <f>0.0954</f>
        <v>9.5399999999999999E-2</v>
      </c>
      <c r="AA92">
        <v>23.5</v>
      </c>
      <c r="AB92">
        <v>2.5</v>
      </c>
      <c r="AC92">
        <f>15</f>
        <v>15</v>
      </c>
      <c r="AD92">
        <f t="shared" si="54"/>
        <v>4.1666666666666666E-3</v>
      </c>
      <c r="AE92">
        <f t="shared" si="55"/>
        <v>2.5000000000000001E-3</v>
      </c>
      <c r="AF92">
        <f t="shared" si="56"/>
        <v>0.6</v>
      </c>
      <c r="AG92">
        <f t="shared" si="57"/>
        <v>43.557168784029038</v>
      </c>
      <c r="AH92" s="15">
        <f>AG92*BS32</f>
        <v>44.776769509981854</v>
      </c>
      <c r="AI92" s="21">
        <f t="shared" si="58"/>
        <v>0.91966362497763476</v>
      </c>
      <c r="AJ92" s="18">
        <f t="shared" si="59"/>
        <v>8.0336375022365195E-2</v>
      </c>
      <c r="AX92">
        <v>30</v>
      </c>
      <c r="AY92">
        <f>15</f>
        <v>15</v>
      </c>
      <c r="AZ92">
        <v>5</v>
      </c>
      <c r="BA92">
        <f t="shared" si="45"/>
        <v>5.0000000000000001E-3</v>
      </c>
      <c r="BB92">
        <f t="shared" si="46"/>
        <v>4.1666666666666666E-3</v>
      </c>
      <c r="BC92">
        <f t="shared" si="47"/>
        <v>1.2</v>
      </c>
      <c r="BD92">
        <f t="shared" si="48"/>
        <v>87.114337568058076</v>
      </c>
      <c r="BE92" s="18">
        <f t="shared" si="53"/>
        <v>0.7142857142857143</v>
      </c>
    </row>
    <row r="93" spans="7:58" x14ac:dyDescent="0.25">
      <c r="G93">
        <v>30</v>
      </c>
      <c r="H93">
        <f>15</f>
        <v>15</v>
      </c>
      <c r="I93">
        <v>6.8</v>
      </c>
      <c r="J93">
        <f t="shared" si="49"/>
        <v>6.7999999999999996E-3</v>
      </c>
      <c r="K93">
        <f t="shared" si="50"/>
        <v>4.1666666666666666E-3</v>
      </c>
      <c r="L93">
        <f t="shared" si="51"/>
        <v>1.6319999999999999</v>
      </c>
      <c r="M93">
        <f t="shared" si="52"/>
        <v>118.47549909255896</v>
      </c>
      <c r="S93">
        <v>60</v>
      </c>
      <c r="T93">
        <f>9.2*10^3</f>
        <v>9200</v>
      </c>
      <c r="U93">
        <f>6.21</f>
        <v>6.21</v>
      </c>
      <c r="V93" s="15">
        <v>24.5</v>
      </c>
      <c r="W93">
        <f>9.63*10^3</f>
        <v>9630</v>
      </c>
      <c r="X93">
        <f>6.1</f>
        <v>6.1</v>
      </c>
      <c r="Y93">
        <f>159.6</f>
        <v>159.6</v>
      </c>
      <c r="Z93">
        <f>0.1039</f>
        <v>0.10390000000000001</v>
      </c>
      <c r="AA93">
        <v>23.7</v>
      </c>
      <c r="AB93">
        <v>2.5</v>
      </c>
      <c r="AC93">
        <f>15</f>
        <v>15</v>
      </c>
      <c r="AD93">
        <f t="shared" si="54"/>
        <v>4.1666666666666666E-3</v>
      </c>
      <c r="AE93">
        <f t="shared" si="55"/>
        <v>2.5000000000000001E-3</v>
      </c>
      <c r="AF93">
        <f t="shared" si="56"/>
        <v>0.6</v>
      </c>
      <c r="AG93">
        <f t="shared" si="57"/>
        <v>43.557168784029038</v>
      </c>
      <c r="AH93" s="15">
        <f>AG93*BS35</f>
        <v>44.297640653357526</v>
      </c>
      <c r="AI93" s="21">
        <f t="shared" si="58"/>
        <v>0.90982286634460541</v>
      </c>
      <c r="AJ93" s="18">
        <f t="shared" si="59"/>
        <v>9.0177133655394537E-2</v>
      </c>
      <c r="AX93">
        <v>40</v>
      </c>
      <c r="AY93">
        <f>15</f>
        <v>15</v>
      </c>
      <c r="AZ93">
        <v>5</v>
      </c>
      <c r="BA93">
        <f t="shared" si="45"/>
        <v>5.0000000000000001E-3</v>
      </c>
      <c r="BB93">
        <f t="shared" si="46"/>
        <v>4.1666666666666666E-3</v>
      </c>
      <c r="BC93">
        <f t="shared" si="47"/>
        <v>1.2</v>
      </c>
      <c r="BD93">
        <f t="shared" si="48"/>
        <v>87.114337568058076</v>
      </c>
      <c r="BE93" s="18">
        <f t="shared" si="53"/>
        <v>0.70000000000000007</v>
      </c>
    </row>
    <row r="94" spans="7:58" x14ac:dyDescent="0.25">
      <c r="G94">
        <v>40</v>
      </c>
      <c r="H94">
        <f>15</f>
        <v>15</v>
      </c>
      <c r="I94">
        <v>7</v>
      </c>
      <c r="J94">
        <f t="shared" si="49"/>
        <v>7.0000000000000001E-3</v>
      </c>
      <c r="K94">
        <f t="shared" si="50"/>
        <v>4.1666666666666666E-3</v>
      </c>
      <c r="L94">
        <f t="shared" si="51"/>
        <v>1.6800000000000002</v>
      </c>
      <c r="M94">
        <f t="shared" si="52"/>
        <v>121.9600725952813</v>
      </c>
      <c r="S94">
        <v>90</v>
      </c>
      <c r="T94">
        <f>9.82*10^3</f>
        <v>9820</v>
      </c>
      <c r="U94">
        <f>6.32</f>
        <v>6.32</v>
      </c>
      <c r="V94" s="15">
        <f>24.8</f>
        <v>24.8</v>
      </c>
      <c r="W94">
        <f>10.04*10^3</f>
        <v>10040</v>
      </c>
      <c r="X94">
        <f>6.38</f>
        <v>6.38</v>
      </c>
      <c r="Y94">
        <f>145.9</f>
        <v>145.9</v>
      </c>
      <c r="Z94">
        <v>0.10979999999999999</v>
      </c>
      <c r="AA94">
        <v>23.9</v>
      </c>
      <c r="AB94">
        <v>2.4</v>
      </c>
      <c r="AC94">
        <f>15</f>
        <v>15</v>
      </c>
      <c r="AD94">
        <f t="shared" si="54"/>
        <v>4.1666666666666666E-3</v>
      </c>
      <c r="AE94">
        <f t="shared" si="55"/>
        <v>2.3999999999999998E-3</v>
      </c>
      <c r="AF94">
        <f t="shared" si="56"/>
        <v>0.57599999999999996</v>
      </c>
      <c r="AG94">
        <f t="shared" si="57"/>
        <v>41.814882032667867</v>
      </c>
      <c r="AH94" s="15">
        <f>AG94*BS38</f>
        <v>42.107586206896535</v>
      </c>
      <c r="AI94" s="21">
        <f t="shared" si="58"/>
        <v>0.8648416532474501</v>
      </c>
      <c r="AJ94" s="18">
        <f t="shared" si="59"/>
        <v>0.1351583467525499</v>
      </c>
      <c r="AX94">
        <v>50</v>
      </c>
      <c r="AY94">
        <f>15</f>
        <v>15</v>
      </c>
      <c r="AZ94">
        <v>4.9000000000000004</v>
      </c>
      <c r="BA94">
        <f t="shared" si="45"/>
        <v>4.9000000000000007E-3</v>
      </c>
      <c r="BB94">
        <f t="shared" si="46"/>
        <v>4.1666666666666666E-3</v>
      </c>
      <c r="BC94">
        <f t="shared" si="47"/>
        <v>1.1760000000000002</v>
      </c>
      <c r="BD94">
        <f t="shared" si="48"/>
        <v>85.372050816696927</v>
      </c>
      <c r="BE94" s="18">
        <f t="shared" si="53"/>
        <v>0.71014492753623193</v>
      </c>
    </row>
    <row r="95" spans="7:58" x14ac:dyDescent="0.25">
      <c r="G95">
        <v>50</v>
      </c>
      <c r="H95">
        <f>15</f>
        <v>15</v>
      </c>
      <c r="I95">
        <v>7</v>
      </c>
      <c r="J95">
        <f t="shared" si="49"/>
        <v>7.0000000000000001E-3</v>
      </c>
      <c r="K95">
        <f t="shared" si="50"/>
        <v>4.1666666666666666E-3</v>
      </c>
      <c r="L95">
        <f t="shared" si="51"/>
        <v>1.6800000000000002</v>
      </c>
      <c r="M95">
        <f t="shared" si="52"/>
        <v>121.9600725952813</v>
      </c>
      <c r="S95">
        <v>120</v>
      </c>
      <c r="T95">
        <f>9.9*10^3</f>
        <v>9900</v>
      </c>
      <c r="U95">
        <f>6.39</f>
        <v>6.39</v>
      </c>
      <c r="V95" s="15">
        <f>25.1</f>
        <v>25.1</v>
      </c>
      <c r="W95">
        <f>10.17*10^3</f>
        <v>10170</v>
      </c>
      <c r="X95">
        <f>6.7</f>
        <v>6.7</v>
      </c>
      <c r="Y95">
        <f>141.9</f>
        <v>141.9</v>
      </c>
      <c r="Z95">
        <v>0.1173</v>
      </c>
      <c r="AA95">
        <v>24.2</v>
      </c>
      <c r="AB95">
        <v>2.4</v>
      </c>
      <c r="AC95">
        <f>15</f>
        <v>15</v>
      </c>
      <c r="AD95">
        <f t="shared" si="54"/>
        <v>4.1666666666666666E-3</v>
      </c>
      <c r="AE95">
        <f t="shared" si="55"/>
        <v>2.3999999999999998E-3</v>
      </c>
      <c r="AF95">
        <f t="shared" si="56"/>
        <v>0.57599999999999996</v>
      </c>
      <c r="AG95">
        <f t="shared" si="57"/>
        <v>41.814882032667867</v>
      </c>
      <c r="AH95" s="15">
        <f>AG95*BS41</f>
        <v>41.689437386569864</v>
      </c>
      <c r="AI95" s="21">
        <f t="shared" si="58"/>
        <v>0.85625335480407938</v>
      </c>
      <c r="AJ95" s="18">
        <f t="shared" si="59"/>
        <v>0.14374664519592065</v>
      </c>
      <c r="AX95">
        <v>60</v>
      </c>
      <c r="AY95">
        <f>15</f>
        <v>15</v>
      </c>
      <c r="AZ95">
        <v>4.9000000000000004</v>
      </c>
      <c r="BA95">
        <f t="shared" si="45"/>
        <v>4.9000000000000007E-3</v>
      </c>
      <c r="BB95">
        <f t="shared" si="46"/>
        <v>4.1666666666666666E-3</v>
      </c>
      <c r="BC95">
        <f t="shared" si="47"/>
        <v>1.1760000000000002</v>
      </c>
      <c r="BD95">
        <f t="shared" si="48"/>
        <v>85.372050816696927</v>
      </c>
      <c r="BE95" s="18">
        <f t="shared" si="53"/>
        <v>0.71014492753623193</v>
      </c>
    </row>
    <row r="96" spans="7:58" x14ac:dyDescent="0.25">
      <c r="G96">
        <v>60</v>
      </c>
      <c r="H96">
        <f>15</f>
        <v>15</v>
      </c>
      <c r="I96">
        <v>6.9</v>
      </c>
      <c r="J96">
        <f t="shared" si="49"/>
        <v>6.9000000000000008E-3</v>
      </c>
      <c r="K96">
        <f t="shared" si="50"/>
        <v>4.1666666666666666E-3</v>
      </c>
      <c r="L96">
        <f t="shared" si="51"/>
        <v>1.6560000000000001</v>
      </c>
      <c r="M96">
        <f t="shared" si="52"/>
        <v>120.21778584392015</v>
      </c>
      <c r="S96">
        <v>150</v>
      </c>
      <c r="T96">
        <f>11.1*10^3</f>
        <v>11100</v>
      </c>
      <c r="U96">
        <f>7.05</f>
        <v>7.05</v>
      </c>
      <c r="V96" s="15">
        <f>25.3</f>
        <v>25.3</v>
      </c>
      <c r="W96">
        <f>10.03*10^3</f>
        <v>10030</v>
      </c>
      <c r="X96">
        <f>6.8</f>
        <v>6.8</v>
      </c>
      <c r="Y96">
        <v>180.7</v>
      </c>
      <c r="Z96">
        <f>0.1298</f>
        <v>0.1298</v>
      </c>
      <c r="AA96">
        <v>24.4</v>
      </c>
      <c r="AB96">
        <v>2.4</v>
      </c>
      <c r="AC96">
        <f>15</f>
        <v>15</v>
      </c>
      <c r="AD96">
        <f t="shared" si="54"/>
        <v>4.1666666666666666E-3</v>
      </c>
      <c r="AE96">
        <f t="shared" si="55"/>
        <v>2.3999999999999998E-3</v>
      </c>
      <c r="AF96">
        <f t="shared" si="56"/>
        <v>0.57599999999999996</v>
      </c>
      <c r="AG96">
        <f t="shared" si="57"/>
        <v>41.814882032667867</v>
      </c>
      <c r="AH96" s="15">
        <f>AG96*BS43</f>
        <v>41.438548094373857</v>
      </c>
      <c r="AI96" s="21">
        <f t="shared" si="58"/>
        <v>0.85110037573805686</v>
      </c>
      <c r="AJ96" s="18">
        <f t="shared" si="59"/>
        <v>0.14889962426194317</v>
      </c>
      <c r="AX96">
        <v>70</v>
      </c>
      <c r="AY96">
        <f>15</f>
        <v>15</v>
      </c>
      <c r="AZ96">
        <v>4.9000000000000004</v>
      </c>
      <c r="BA96">
        <f t="shared" si="45"/>
        <v>4.9000000000000007E-3</v>
      </c>
      <c r="BB96">
        <f t="shared" si="46"/>
        <v>4.1666666666666666E-3</v>
      </c>
      <c r="BC96">
        <f t="shared" si="47"/>
        <v>1.1760000000000002</v>
      </c>
      <c r="BD96">
        <f t="shared" si="48"/>
        <v>85.372050816696927</v>
      </c>
      <c r="BE96" s="18">
        <f t="shared" si="53"/>
        <v>0.72058823529411786</v>
      </c>
    </row>
    <row r="97" spans="7:57" x14ac:dyDescent="0.25">
      <c r="G97">
        <v>70</v>
      </c>
      <c r="H97">
        <f>15</f>
        <v>15</v>
      </c>
      <c r="I97">
        <v>6.9</v>
      </c>
      <c r="J97">
        <f t="shared" si="49"/>
        <v>6.9000000000000008E-3</v>
      </c>
      <c r="K97">
        <f t="shared" si="50"/>
        <v>4.1666666666666666E-3</v>
      </c>
      <c r="L97">
        <f t="shared" si="51"/>
        <v>1.6560000000000001</v>
      </c>
      <c r="M97">
        <f t="shared" si="52"/>
        <v>120.21778584392015</v>
      </c>
      <c r="S97">
        <v>180</v>
      </c>
      <c r="T97">
        <f>11.4*10^3</f>
        <v>11400</v>
      </c>
      <c r="U97">
        <f>7.23</f>
        <v>7.23</v>
      </c>
      <c r="V97" s="15">
        <f>25.5</f>
        <v>25.5</v>
      </c>
      <c r="W97">
        <f>11.2*10^3</f>
        <v>11200</v>
      </c>
      <c r="X97">
        <f>6.81</f>
        <v>6.81</v>
      </c>
      <c r="Y97">
        <v>187.6</v>
      </c>
      <c r="Z97">
        <f>0.1159</f>
        <v>0.1159</v>
      </c>
      <c r="AA97">
        <v>24.7</v>
      </c>
      <c r="AB97">
        <v>2.2999999999999998</v>
      </c>
      <c r="AC97">
        <f>15</f>
        <v>15</v>
      </c>
      <c r="AD97">
        <f t="shared" si="54"/>
        <v>4.1666666666666666E-3</v>
      </c>
      <c r="AE97">
        <f t="shared" si="55"/>
        <v>2.3E-3</v>
      </c>
      <c r="AF97">
        <f t="shared" si="56"/>
        <v>0.55200000000000005</v>
      </c>
      <c r="AG97">
        <f t="shared" si="57"/>
        <v>40.072595281306711</v>
      </c>
      <c r="AH97" s="15">
        <f>AG97*BS45</f>
        <v>39.471506352087111</v>
      </c>
      <c r="AI97" s="21">
        <f t="shared" si="58"/>
        <v>0.81069958847736634</v>
      </c>
      <c r="AJ97" s="18">
        <f t="shared" si="59"/>
        <v>0.18930041152263372</v>
      </c>
      <c r="AX97">
        <v>80</v>
      </c>
      <c r="AY97">
        <f>15</f>
        <v>15</v>
      </c>
      <c r="AZ97">
        <v>4.9000000000000004</v>
      </c>
      <c r="BA97">
        <f t="shared" si="45"/>
        <v>4.9000000000000007E-3</v>
      </c>
      <c r="BB97">
        <f t="shared" si="46"/>
        <v>4.1666666666666666E-3</v>
      </c>
      <c r="BC97">
        <f t="shared" si="47"/>
        <v>1.1760000000000002</v>
      </c>
      <c r="BD97">
        <f t="shared" si="48"/>
        <v>85.372050816696927</v>
      </c>
      <c r="BE97" s="18">
        <f t="shared" si="53"/>
        <v>0.70588235294117641</v>
      </c>
    </row>
    <row r="98" spans="7:57" x14ac:dyDescent="0.25">
      <c r="G98">
        <v>80</v>
      </c>
      <c r="H98">
        <f>15</f>
        <v>15</v>
      </c>
      <c r="I98">
        <v>6.8</v>
      </c>
      <c r="J98">
        <f t="shared" si="49"/>
        <v>6.7999999999999996E-3</v>
      </c>
      <c r="K98">
        <f t="shared" si="50"/>
        <v>4.1666666666666666E-3</v>
      </c>
      <c r="L98">
        <f t="shared" si="51"/>
        <v>1.6319999999999999</v>
      </c>
      <c r="M98">
        <f t="shared" si="52"/>
        <v>118.47549909255896</v>
      </c>
      <c r="S98">
        <v>210</v>
      </c>
      <c r="T98">
        <f>11.6*10^3</f>
        <v>11600</v>
      </c>
      <c r="U98">
        <f>7.36</f>
        <v>7.36</v>
      </c>
      <c r="V98" s="15">
        <f>25.8</f>
        <v>25.8</v>
      </c>
      <c r="W98">
        <f>11.9*10^3</f>
        <v>11900</v>
      </c>
      <c r="X98">
        <f>6.85</f>
        <v>6.85</v>
      </c>
      <c r="Y98">
        <f>178.9</f>
        <v>178.9</v>
      </c>
      <c r="Z98">
        <f>0.1206</f>
        <v>0.1206</v>
      </c>
      <c r="AA98">
        <v>24.9</v>
      </c>
      <c r="AB98">
        <v>2.2999999999999998</v>
      </c>
      <c r="AC98">
        <f>15</f>
        <v>15</v>
      </c>
      <c r="AD98">
        <f t="shared" si="54"/>
        <v>4.1666666666666666E-3</v>
      </c>
      <c r="AE98">
        <f t="shared" si="55"/>
        <v>2.3E-3</v>
      </c>
      <c r="AF98">
        <f t="shared" si="56"/>
        <v>0.55200000000000005</v>
      </c>
      <c r="AG98">
        <f t="shared" si="57"/>
        <v>40.072595281306711</v>
      </c>
      <c r="AH98" s="15">
        <f>AG98*BS48</f>
        <v>39.150925589836653</v>
      </c>
      <c r="AI98" s="21">
        <f t="shared" si="58"/>
        <v>0.80411522633744847</v>
      </c>
      <c r="AJ98" s="18">
        <f t="shared" si="59"/>
        <v>0.1958847736625515</v>
      </c>
      <c r="AX98">
        <v>90</v>
      </c>
      <c r="AY98">
        <f>15</f>
        <v>15</v>
      </c>
      <c r="AZ98">
        <v>4.8</v>
      </c>
      <c r="BA98">
        <f t="shared" si="45"/>
        <v>4.7999999999999996E-3</v>
      </c>
      <c r="BB98">
        <f t="shared" si="46"/>
        <v>4.1666666666666666E-3</v>
      </c>
      <c r="BC98">
        <f t="shared" si="47"/>
        <v>1.1519999999999999</v>
      </c>
      <c r="BD98">
        <f t="shared" si="48"/>
        <v>83.629764065335735</v>
      </c>
      <c r="BE98" s="18">
        <f t="shared" si="53"/>
        <v>0.69565217391304324</v>
      </c>
    </row>
    <row r="99" spans="7:57" x14ac:dyDescent="0.25">
      <c r="G99">
        <v>90</v>
      </c>
      <c r="H99">
        <v>15</v>
      </c>
      <c r="I99">
        <v>6.8</v>
      </c>
      <c r="J99">
        <f t="shared" si="49"/>
        <v>6.7999999999999996E-3</v>
      </c>
      <c r="K99">
        <f t="shared" si="50"/>
        <v>4.1666666666666666E-3</v>
      </c>
      <c r="L99">
        <f t="shared" si="51"/>
        <v>1.6319999999999999</v>
      </c>
      <c r="M99">
        <f t="shared" si="52"/>
        <v>118.47549909255896</v>
      </c>
      <c r="S99">
        <v>240</v>
      </c>
      <c r="T99">
        <f>11.8*10^3</f>
        <v>11800</v>
      </c>
      <c r="U99">
        <f>7.51</f>
        <v>7.51</v>
      </c>
      <c r="V99" s="15">
        <f>26.1</f>
        <v>26.1</v>
      </c>
      <c r="W99">
        <f>12.3*10^3</f>
        <v>12300</v>
      </c>
      <c r="X99">
        <f>6.92</f>
        <v>6.92</v>
      </c>
      <c r="Y99">
        <f>156.9</f>
        <v>156.9</v>
      </c>
      <c r="Z99">
        <f>0.1297</f>
        <v>0.12970000000000001</v>
      </c>
      <c r="AA99">
        <v>25.2</v>
      </c>
      <c r="AB99">
        <v>2.2000000000000002</v>
      </c>
      <c r="AC99">
        <f>15</f>
        <v>15</v>
      </c>
      <c r="AD99">
        <f t="shared" si="54"/>
        <v>4.1666666666666666E-3</v>
      </c>
      <c r="AE99">
        <f t="shared" si="55"/>
        <v>2.2000000000000001E-3</v>
      </c>
      <c r="AF99">
        <f t="shared" si="56"/>
        <v>0.52800000000000002</v>
      </c>
      <c r="AG99">
        <f t="shared" si="57"/>
        <v>38.330308529945555</v>
      </c>
      <c r="AH99" s="15">
        <f>AG99*BU11</f>
        <v>37.103738656987296</v>
      </c>
      <c r="AI99" s="21">
        <f t="shared" si="58"/>
        <v>0.76206834854177863</v>
      </c>
      <c r="AJ99" s="18">
        <f t="shared" si="59"/>
        <v>0.2379316514582214</v>
      </c>
      <c r="AX99">
        <v>100</v>
      </c>
      <c r="AY99">
        <f>15</f>
        <v>15</v>
      </c>
      <c r="AZ99">
        <v>4.8</v>
      </c>
      <c r="BA99">
        <f t="shared" si="45"/>
        <v>4.7999999999999996E-3</v>
      </c>
      <c r="BB99">
        <f t="shared" si="46"/>
        <v>4.1666666666666666E-3</v>
      </c>
      <c r="BC99">
        <f t="shared" si="47"/>
        <v>1.1519999999999999</v>
      </c>
      <c r="BD99">
        <f t="shared" si="48"/>
        <v>83.629764065335735</v>
      </c>
      <c r="BE99" s="18">
        <f t="shared" si="53"/>
        <v>0.71641791044776104</v>
      </c>
    </row>
    <row r="100" spans="7:57" x14ac:dyDescent="0.25">
      <c r="G100">
        <v>100</v>
      </c>
      <c r="H100">
        <v>15</v>
      </c>
      <c r="I100">
        <v>6.9</v>
      </c>
      <c r="J100">
        <f t="shared" si="49"/>
        <v>6.9000000000000008E-3</v>
      </c>
      <c r="K100">
        <f t="shared" si="50"/>
        <v>4.1666666666666666E-3</v>
      </c>
      <c r="L100">
        <f t="shared" si="51"/>
        <v>1.6560000000000001</v>
      </c>
      <c r="M100">
        <f t="shared" si="52"/>
        <v>120.21778584392015</v>
      </c>
      <c r="AG100" s="1">
        <f>AVERAGE(AG91:AG99)</f>
        <v>42.008469449485773</v>
      </c>
      <c r="AH100" s="16">
        <f>AVERAGE(AH91:AH99)</f>
        <v>42.08048396854204</v>
      </c>
      <c r="AI100" s="26"/>
      <c r="AJ100" s="19"/>
      <c r="AX100">
        <v>110</v>
      </c>
      <c r="AY100">
        <f>15</f>
        <v>15</v>
      </c>
      <c r="AZ100">
        <v>4.8</v>
      </c>
      <c r="BA100">
        <f t="shared" si="45"/>
        <v>4.7999999999999996E-3</v>
      </c>
      <c r="BB100">
        <f t="shared" si="46"/>
        <v>4.1666666666666666E-3</v>
      </c>
      <c r="BC100">
        <f t="shared" si="47"/>
        <v>1.1519999999999999</v>
      </c>
      <c r="BD100">
        <f t="shared" si="48"/>
        <v>83.629764065335735</v>
      </c>
      <c r="BE100" s="18">
        <f t="shared" si="53"/>
        <v>0.70149253731343286</v>
      </c>
    </row>
    <row r="101" spans="7:57" x14ac:dyDescent="0.25">
      <c r="G101">
        <v>110</v>
      </c>
      <c r="H101">
        <v>15</v>
      </c>
      <c r="I101">
        <v>6.7</v>
      </c>
      <c r="J101">
        <f t="shared" si="49"/>
        <v>6.7000000000000002E-3</v>
      </c>
      <c r="K101">
        <f t="shared" si="50"/>
        <v>4.1666666666666666E-3</v>
      </c>
      <c r="L101">
        <f t="shared" si="51"/>
        <v>1.6080000000000001</v>
      </c>
      <c r="M101">
        <f t="shared" si="52"/>
        <v>116.73321234119781</v>
      </c>
      <c r="AX101">
        <v>120</v>
      </c>
      <c r="AY101">
        <f>15</f>
        <v>15</v>
      </c>
      <c r="AZ101">
        <v>4.7</v>
      </c>
      <c r="BA101">
        <f t="shared" si="45"/>
        <v>4.7000000000000002E-3</v>
      </c>
      <c r="BB101">
        <f t="shared" si="46"/>
        <v>4.1666666666666666E-3</v>
      </c>
      <c r="BC101">
        <f t="shared" si="47"/>
        <v>1.1280000000000001</v>
      </c>
      <c r="BD101">
        <f t="shared" si="48"/>
        <v>81.887477313974586</v>
      </c>
      <c r="BE101" s="18">
        <f t="shared" si="53"/>
        <v>0.71237458193979941</v>
      </c>
    </row>
    <row r="102" spans="7:57" x14ac:dyDescent="0.25">
      <c r="G102">
        <v>120</v>
      </c>
      <c r="H102">
        <v>15</v>
      </c>
      <c r="I102">
        <v>6.7</v>
      </c>
      <c r="J102">
        <f t="shared" si="49"/>
        <v>6.7000000000000002E-3</v>
      </c>
      <c r="K102">
        <f t="shared" si="50"/>
        <v>4.1666666666666666E-3</v>
      </c>
      <c r="L102">
        <f t="shared" si="51"/>
        <v>1.6080000000000001</v>
      </c>
      <c r="M102">
        <f t="shared" si="52"/>
        <v>116.73321234119781</v>
      </c>
      <c r="BD102" s="1">
        <f>AVERAGE(BD89:BD101)</f>
        <v>85.64009493229095</v>
      </c>
      <c r="BE102" s="19"/>
    </row>
    <row r="103" spans="7:57" x14ac:dyDescent="0.25">
      <c r="M103" s="1">
        <f>AVERAGE(M90:M101)</f>
        <v>120.21778584392014</v>
      </c>
    </row>
    <row r="115" spans="7:58" x14ac:dyDescent="0.25">
      <c r="G115" s="1" t="s">
        <v>0</v>
      </c>
      <c r="H115" s="1" t="s">
        <v>1</v>
      </c>
      <c r="I115" s="1" t="s">
        <v>2</v>
      </c>
      <c r="J115" s="13" t="s">
        <v>3</v>
      </c>
      <c r="K115" s="13" t="s">
        <v>15</v>
      </c>
      <c r="L115" s="13" t="s">
        <v>16</v>
      </c>
      <c r="M115" s="13" t="s">
        <v>17</v>
      </c>
      <c r="T115" s="1" t="s">
        <v>4</v>
      </c>
      <c r="U115" s="1"/>
      <c r="V115" s="1"/>
      <c r="W115" s="1" t="s">
        <v>5</v>
      </c>
      <c r="X115" s="1"/>
      <c r="Y115" s="1" t="s">
        <v>6</v>
      </c>
      <c r="Z115" s="1"/>
    </row>
    <row r="116" spans="7:58" x14ac:dyDescent="0.25">
      <c r="G116">
        <v>0</v>
      </c>
      <c r="H116">
        <f>15</f>
        <v>15</v>
      </c>
      <c r="I116">
        <v>6.8</v>
      </c>
      <c r="J116">
        <f t="shared" ref="J116:J128" si="60">I116*10^-3</f>
        <v>6.7999999999999996E-3</v>
      </c>
      <c r="K116">
        <f t="shared" ref="K116:K128" si="61">H116/3600</f>
        <v>4.1666666666666666E-3</v>
      </c>
      <c r="L116">
        <f t="shared" ref="L116:L128" si="62">J116/K116</f>
        <v>1.6319999999999999</v>
      </c>
      <c r="M116">
        <f t="shared" ref="M116:M128" si="63">J116/(K116*$O$8)</f>
        <v>118.47549909255896</v>
      </c>
      <c r="S116" t="s">
        <v>0</v>
      </c>
      <c r="T116" t="s">
        <v>7</v>
      </c>
      <c r="U116" t="s">
        <v>8</v>
      </c>
      <c r="V116" s="15" t="s">
        <v>9</v>
      </c>
      <c r="W116" t="s">
        <v>7</v>
      </c>
      <c r="X116" t="s">
        <v>8</v>
      </c>
      <c r="Y116" t="s">
        <v>7</v>
      </c>
      <c r="Z116" t="s">
        <v>8</v>
      </c>
      <c r="AA116" t="s">
        <v>9</v>
      </c>
      <c r="AB116" t="s">
        <v>10</v>
      </c>
      <c r="AC116" t="s">
        <v>1</v>
      </c>
      <c r="AD116" s="13" t="s">
        <v>15</v>
      </c>
      <c r="AE116" s="13" t="s">
        <v>19</v>
      </c>
      <c r="AF116" s="13" t="s">
        <v>20</v>
      </c>
      <c r="AG116" s="13" t="s">
        <v>21</v>
      </c>
      <c r="AH116" s="14" t="s">
        <v>22</v>
      </c>
      <c r="AI116" s="20" t="s">
        <v>33</v>
      </c>
      <c r="AJ116" s="13" t="s">
        <v>23</v>
      </c>
      <c r="AK116" s="22" t="s">
        <v>31</v>
      </c>
      <c r="AX116" t="s">
        <v>0</v>
      </c>
      <c r="AY116" t="s">
        <v>1</v>
      </c>
      <c r="AZ116" t="s">
        <v>2</v>
      </c>
      <c r="BA116" s="17" t="s">
        <v>3</v>
      </c>
      <c r="BB116" s="13" t="s">
        <v>15</v>
      </c>
      <c r="BC116" s="13" t="s">
        <v>16</v>
      </c>
      <c r="BD116" s="13" t="s">
        <v>17</v>
      </c>
      <c r="BE116" s="13" t="s">
        <v>24</v>
      </c>
      <c r="BF116" s="22" t="s">
        <v>43</v>
      </c>
    </row>
    <row r="117" spans="7:58" x14ac:dyDescent="0.25">
      <c r="G117">
        <v>10</v>
      </c>
      <c r="H117">
        <f>15</f>
        <v>15</v>
      </c>
      <c r="I117">
        <v>6.7</v>
      </c>
      <c r="J117">
        <f t="shared" si="60"/>
        <v>6.7000000000000002E-3</v>
      </c>
      <c r="K117">
        <f t="shared" si="61"/>
        <v>4.1666666666666666E-3</v>
      </c>
      <c r="L117">
        <f t="shared" si="62"/>
        <v>1.6080000000000001</v>
      </c>
      <c r="M117">
        <f t="shared" si="63"/>
        <v>116.73321234119781</v>
      </c>
      <c r="S117">
        <v>0</v>
      </c>
      <c r="T117">
        <f>8.82*10^3</f>
        <v>8820</v>
      </c>
      <c r="U117">
        <v>6.2</v>
      </c>
      <c r="V117" s="15">
        <v>23.3</v>
      </c>
      <c r="W117">
        <f>8.6*10^3</f>
        <v>8600</v>
      </c>
      <c r="X117">
        <f>5.86</f>
        <v>5.86</v>
      </c>
      <c r="Y117">
        <f>209.3</f>
        <v>209.3</v>
      </c>
      <c r="Z117">
        <v>9.3700000000000006E-2</v>
      </c>
      <c r="AA117">
        <v>22.8</v>
      </c>
      <c r="AB117">
        <v>2.8</v>
      </c>
      <c r="AC117">
        <f>15</f>
        <v>15</v>
      </c>
      <c r="AD117">
        <f t="shared" ref="AD117:AD125" si="64">AC117/3600</f>
        <v>4.1666666666666666E-3</v>
      </c>
      <c r="AE117">
        <f t="shared" ref="AE117:AE125" si="65">AB117*10^-3</f>
        <v>2.8E-3</v>
      </c>
      <c r="AF117">
        <f t="shared" ref="AF117:AF125" si="66">AE117/AD117</f>
        <v>0.67200000000000004</v>
      </c>
      <c r="AG117">
        <f t="shared" ref="AG117:AG125" si="67">AE117/(AD117*$O$8)</f>
        <v>48.784029038112521</v>
      </c>
      <c r="AH117" s="15">
        <f>AG117*BS23</f>
        <v>51.711070780399275</v>
      </c>
      <c r="AI117" s="21">
        <f t="shared" ref="AI117:AI125" si="68">AH117/$AH$117</f>
        <v>1</v>
      </c>
      <c r="AJ117" s="18">
        <f t="shared" ref="AJ117:AJ125" si="69">($AH$117-AH117)/$AH$117</f>
        <v>0</v>
      </c>
      <c r="AK117" s="18">
        <f>(AH117-AH125)/AH117</f>
        <v>0.17031671159029649</v>
      </c>
      <c r="AX117">
        <v>0</v>
      </c>
      <c r="AY117">
        <f>15</f>
        <v>15</v>
      </c>
      <c r="AZ117">
        <v>4.9000000000000004</v>
      </c>
      <c r="BA117">
        <f t="shared" ref="BA117:BA129" si="70">AZ117*10^-3</f>
        <v>4.9000000000000007E-3</v>
      </c>
      <c r="BB117">
        <f t="shared" ref="BB117:BB129" si="71">AY117/3600</f>
        <v>4.1666666666666666E-3</v>
      </c>
      <c r="BC117">
        <f t="shared" ref="BC117:BC129" si="72">BA117/BB117</f>
        <v>1.1760000000000002</v>
      </c>
      <c r="BD117">
        <f t="shared" ref="BD117:BD129" si="73">BA117/(BB117*$O$8)</f>
        <v>85.372050816696927</v>
      </c>
      <c r="BE117" s="18">
        <f t="shared" ref="BE117:BE129" si="74">(BD117/M116)</f>
        <v>0.72058823529411786</v>
      </c>
      <c r="BF117" s="18">
        <f>BD130/M129</f>
        <v>0.67498603091823428</v>
      </c>
    </row>
    <row r="118" spans="7:58" x14ac:dyDescent="0.25">
      <c r="G118">
        <v>20</v>
      </c>
      <c r="H118">
        <f>15</f>
        <v>15</v>
      </c>
      <c r="I118">
        <v>6.9</v>
      </c>
      <c r="J118">
        <f t="shared" si="60"/>
        <v>6.9000000000000008E-3</v>
      </c>
      <c r="K118">
        <f t="shared" si="61"/>
        <v>4.1666666666666666E-3</v>
      </c>
      <c r="L118">
        <f t="shared" si="62"/>
        <v>1.6560000000000001</v>
      </c>
      <c r="M118">
        <f t="shared" si="63"/>
        <v>120.21778584392015</v>
      </c>
      <c r="S118">
        <v>30</v>
      </c>
      <c r="T118">
        <f>9.11*10^3</f>
        <v>9110</v>
      </c>
      <c r="U118">
        <v>6.37</v>
      </c>
      <c r="V118" s="15">
        <f>23.7</f>
        <v>23.7</v>
      </c>
      <c r="W118">
        <f>8.93*10^3</f>
        <v>8930</v>
      </c>
      <c r="X118">
        <f>6.22</f>
        <v>6.22</v>
      </c>
      <c r="Y118">
        <f>180.9</f>
        <v>180.9</v>
      </c>
      <c r="Z118">
        <f>0.0989</f>
        <v>9.8900000000000002E-2</v>
      </c>
      <c r="AA118">
        <f>22.3</f>
        <v>22.3</v>
      </c>
      <c r="AB118">
        <v>2.4</v>
      </c>
      <c r="AC118">
        <f>15</f>
        <v>15</v>
      </c>
      <c r="AD118">
        <f t="shared" si="64"/>
        <v>4.1666666666666666E-3</v>
      </c>
      <c r="AE118">
        <f t="shared" si="65"/>
        <v>2.3999999999999998E-3</v>
      </c>
      <c r="AF118">
        <f t="shared" si="66"/>
        <v>0.57599999999999996</v>
      </c>
      <c r="AG118">
        <f t="shared" si="67"/>
        <v>41.814882032667867</v>
      </c>
      <c r="AH118" s="15">
        <f>AG118*BS27</f>
        <v>43.696551724137919</v>
      </c>
      <c r="AI118" s="21">
        <f t="shared" si="68"/>
        <v>0.84501347708894858</v>
      </c>
      <c r="AJ118" s="18">
        <f t="shared" si="69"/>
        <v>0.15498652291105147</v>
      </c>
      <c r="AX118">
        <v>10</v>
      </c>
      <c r="AY118">
        <f>15</f>
        <v>15</v>
      </c>
      <c r="AZ118">
        <v>4.8</v>
      </c>
      <c r="BA118">
        <f t="shared" si="70"/>
        <v>4.7999999999999996E-3</v>
      </c>
      <c r="BB118">
        <f t="shared" si="71"/>
        <v>4.1666666666666666E-3</v>
      </c>
      <c r="BC118">
        <f t="shared" si="72"/>
        <v>1.1519999999999999</v>
      </c>
      <c r="BD118">
        <f t="shared" si="73"/>
        <v>83.629764065335735</v>
      </c>
      <c r="BE118" s="18">
        <f t="shared" si="74"/>
        <v>0.71641791044776104</v>
      </c>
    </row>
    <row r="119" spans="7:58" x14ac:dyDescent="0.25">
      <c r="G119">
        <v>30</v>
      </c>
      <c r="H119">
        <f>15</f>
        <v>15</v>
      </c>
      <c r="I119">
        <v>7</v>
      </c>
      <c r="J119">
        <f t="shared" si="60"/>
        <v>7.0000000000000001E-3</v>
      </c>
      <c r="K119">
        <f t="shared" si="61"/>
        <v>4.1666666666666666E-3</v>
      </c>
      <c r="L119">
        <f t="shared" si="62"/>
        <v>1.6800000000000002</v>
      </c>
      <c r="M119">
        <f t="shared" si="63"/>
        <v>121.9600725952813</v>
      </c>
      <c r="S119">
        <v>60</v>
      </c>
      <c r="T119">
        <f>9.26*10^3</f>
        <v>9260</v>
      </c>
      <c r="U119">
        <v>6.49</v>
      </c>
      <c r="V119" s="15">
        <f>23.9</f>
        <v>23.9</v>
      </c>
      <c r="W119">
        <f>9.48*10^3</f>
        <v>9480</v>
      </c>
      <c r="X119">
        <f>6.31</f>
        <v>6.31</v>
      </c>
      <c r="Y119">
        <f>177.1</f>
        <v>177.1</v>
      </c>
      <c r="Z119">
        <f>0.1026</f>
        <v>0.1026</v>
      </c>
      <c r="AA119">
        <f>21.9</f>
        <v>21.9</v>
      </c>
      <c r="AB119">
        <v>2.4</v>
      </c>
      <c r="AC119">
        <f>15</f>
        <v>15</v>
      </c>
      <c r="AD119">
        <f t="shared" si="64"/>
        <v>4.1666666666666666E-3</v>
      </c>
      <c r="AE119">
        <f t="shared" si="65"/>
        <v>2.3999999999999998E-3</v>
      </c>
      <c r="AF119">
        <f t="shared" si="66"/>
        <v>0.57599999999999996</v>
      </c>
      <c r="AG119">
        <f t="shared" si="67"/>
        <v>41.814882032667867</v>
      </c>
      <c r="AH119" s="15">
        <f>AG119*BS29</f>
        <v>43.403847549909251</v>
      </c>
      <c r="AI119" s="21">
        <f t="shared" si="68"/>
        <v>0.83935309973045813</v>
      </c>
      <c r="AJ119" s="18">
        <f t="shared" si="69"/>
        <v>0.1606469002695419</v>
      </c>
      <c r="AX119">
        <v>20</v>
      </c>
      <c r="AY119">
        <f>15</f>
        <v>15</v>
      </c>
      <c r="AZ119">
        <v>4.8</v>
      </c>
      <c r="BA119">
        <f t="shared" si="70"/>
        <v>4.7999999999999996E-3</v>
      </c>
      <c r="BB119">
        <f t="shared" si="71"/>
        <v>4.1666666666666666E-3</v>
      </c>
      <c r="BC119">
        <f t="shared" si="72"/>
        <v>1.1519999999999999</v>
      </c>
      <c r="BD119">
        <f t="shared" si="73"/>
        <v>83.629764065335735</v>
      </c>
      <c r="BE119" s="18">
        <f t="shared" si="74"/>
        <v>0.69565217391304324</v>
      </c>
    </row>
    <row r="120" spans="7:58" x14ac:dyDescent="0.25">
      <c r="G120">
        <v>40</v>
      </c>
      <c r="H120">
        <f>15</f>
        <v>15</v>
      </c>
      <c r="I120">
        <v>7</v>
      </c>
      <c r="J120">
        <f t="shared" si="60"/>
        <v>7.0000000000000001E-3</v>
      </c>
      <c r="K120">
        <f t="shared" si="61"/>
        <v>4.1666666666666666E-3</v>
      </c>
      <c r="L120">
        <f t="shared" si="62"/>
        <v>1.6800000000000002</v>
      </c>
      <c r="M120">
        <f t="shared" si="63"/>
        <v>121.9600725952813</v>
      </c>
      <c r="S120">
        <v>90</v>
      </c>
      <c r="T120">
        <f>9.7*10^3</f>
        <v>9700</v>
      </c>
      <c r="U120">
        <v>6.58</v>
      </c>
      <c r="V120" s="15">
        <f>24.1</f>
        <v>24.1</v>
      </c>
      <c r="W120">
        <f>9.92*10^3</f>
        <v>9920</v>
      </c>
      <c r="X120">
        <f>6.46</f>
        <v>6.46</v>
      </c>
      <c r="Y120">
        <f>165.2</f>
        <v>165.2</v>
      </c>
      <c r="Z120">
        <f>0.1098</f>
        <v>0.10979999999999999</v>
      </c>
      <c r="AA120">
        <f>21.7</f>
        <v>21.7</v>
      </c>
      <c r="AB120">
        <v>2.2999999999999998</v>
      </c>
      <c r="AC120">
        <f>15</f>
        <v>15</v>
      </c>
      <c r="AD120">
        <f t="shared" si="64"/>
        <v>4.1666666666666666E-3</v>
      </c>
      <c r="AE120">
        <f t="shared" si="65"/>
        <v>2.3E-3</v>
      </c>
      <c r="AF120">
        <f t="shared" si="66"/>
        <v>0.55200000000000005</v>
      </c>
      <c r="AG120">
        <f t="shared" si="67"/>
        <v>40.072595281306711</v>
      </c>
      <c r="AH120" s="15">
        <f>AG120*BS31</f>
        <v>41.314845735027212</v>
      </c>
      <c r="AI120" s="21">
        <f t="shared" si="68"/>
        <v>0.79895552560646876</v>
      </c>
      <c r="AJ120" s="18">
        <f t="shared" si="69"/>
        <v>0.20104447439353124</v>
      </c>
      <c r="AX120">
        <v>30</v>
      </c>
      <c r="AY120">
        <f>15</f>
        <v>15</v>
      </c>
      <c r="AZ120">
        <v>4.9000000000000004</v>
      </c>
      <c r="BA120">
        <f t="shared" si="70"/>
        <v>4.9000000000000007E-3</v>
      </c>
      <c r="BB120">
        <f t="shared" si="71"/>
        <v>4.1666666666666666E-3</v>
      </c>
      <c r="BC120">
        <f t="shared" si="72"/>
        <v>1.1760000000000002</v>
      </c>
      <c r="BD120">
        <f t="shared" si="73"/>
        <v>85.372050816696927</v>
      </c>
      <c r="BE120" s="18">
        <f t="shared" si="74"/>
        <v>0.70000000000000007</v>
      </c>
    </row>
    <row r="121" spans="7:58" x14ac:dyDescent="0.25">
      <c r="G121">
        <v>50</v>
      </c>
      <c r="H121">
        <f>15</f>
        <v>15</v>
      </c>
      <c r="I121">
        <v>7.1</v>
      </c>
      <c r="J121">
        <f t="shared" si="60"/>
        <v>7.0999999999999995E-3</v>
      </c>
      <c r="K121">
        <f t="shared" si="61"/>
        <v>4.1666666666666666E-3</v>
      </c>
      <c r="L121">
        <f t="shared" si="62"/>
        <v>1.704</v>
      </c>
      <c r="M121">
        <f t="shared" si="63"/>
        <v>123.70235934664245</v>
      </c>
      <c r="S121">
        <v>120</v>
      </c>
      <c r="T121">
        <f>9.94*10^3</f>
        <v>9940</v>
      </c>
      <c r="U121">
        <f>6.79</f>
        <v>6.79</v>
      </c>
      <c r="V121" s="15">
        <f>24.4</f>
        <v>24.4</v>
      </c>
      <c r="W121">
        <f>10.7*10^3</f>
        <v>10700</v>
      </c>
      <c r="X121">
        <f>6.75</f>
        <v>6.75</v>
      </c>
      <c r="Y121">
        <f>158.6</f>
        <v>158.6</v>
      </c>
      <c r="Z121">
        <v>0.1129</v>
      </c>
      <c r="AA121">
        <f>21.4</f>
        <v>21.4</v>
      </c>
      <c r="AB121">
        <v>2.4</v>
      </c>
      <c r="AC121">
        <f>15</f>
        <v>15</v>
      </c>
      <c r="AD121">
        <f t="shared" si="64"/>
        <v>4.1666666666666666E-3</v>
      </c>
      <c r="AE121">
        <f t="shared" si="65"/>
        <v>2.3999999999999998E-3</v>
      </c>
      <c r="AF121">
        <f t="shared" si="66"/>
        <v>0.57599999999999996</v>
      </c>
      <c r="AG121">
        <f t="shared" si="67"/>
        <v>41.814882032667867</v>
      </c>
      <c r="AH121" s="15">
        <f>AG121*BS34</f>
        <v>42.692994555353891</v>
      </c>
      <c r="AI121" s="21">
        <f t="shared" si="68"/>
        <v>0.82560646900269519</v>
      </c>
      <c r="AJ121" s="18">
        <f t="shared" si="69"/>
        <v>0.17439353099730481</v>
      </c>
      <c r="AX121">
        <v>40</v>
      </c>
      <c r="AY121">
        <f>15</f>
        <v>15</v>
      </c>
      <c r="AZ121">
        <v>4.7</v>
      </c>
      <c r="BA121">
        <f t="shared" si="70"/>
        <v>4.7000000000000002E-3</v>
      </c>
      <c r="BB121">
        <f t="shared" si="71"/>
        <v>4.1666666666666666E-3</v>
      </c>
      <c r="BC121">
        <f t="shared" si="72"/>
        <v>1.1280000000000001</v>
      </c>
      <c r="BD121">
        <f t="shared" si="73"/>
        <v>81.887477313974586</v>
      </c>
      <c r="BE121" s="18">
        <f t="shared" si="74"/>
        <v>0.67142857142857137</v>
      </c>
    </row>
    <row r="122" spans="7:58" x14ac:dyDescent="0.25">
      <c r="G122">
        <v>60</v>
      </c>
      <c r="H122">
        <f>15</f>
        <v>15</v>
      </c>
      <c r="I122">
        <v>7</v>
      </c>
      <c r="J122">
        <f t="shared" si="60"/>
        <v>7.0000000000000001E-3</v>
      </c>
      <c r="K122">
        <f t="shared" si="61"/>
        <v>4.1666666666666666E-3</v>
      </c>
      <c r="L122">
        <f t="shared" si="62"/>
        <v>1.6800000000000002</v>
      </c>
      <c r="M122">
        <f t="shared" si="63"/>
        <v>121.9600725952813</v>
      </c>
      <c r="S122">
        <v>150</v>
      </c>
      <c r="T122">
        <f>10.2*10^3</f>
        <v>10200</v>
      </c>
      <c r="U122">
        <f>7.13</f>
        <v>7.13</v>
      </c>
      <c r="V122" s="15">
        <f>24.7</f>
        <v>24.7</v>
      </c>
      <c r="W122">
        <f>10.98*10^3</f>
        <v>10980</v>
      </c>
      <c r="X122">
        <f>6.9</f>
        <v>6.9</v>
      </c>
      <c r="Y122">
        <f>149.6</f>
        <v>149.6</v>
      </c>
      <c r="Z122">
        <f>0.1185</f>
        <v>0.11849999999999999</v>
      </c>
      <c r="AA122">
        <v>21.1</v>
      </c>
      <c r="AB122">
        <v>2.6</v>
      </c>
      <c r="AC122">
        <f>15</f>
        <v>15</v>
      </c>
      <c r="AD122">
        <f t="shared" si="64"/>
        <v>4.1666666666666666E-3</v>
      </c>
      <c r="AE122">
        <f t="shared" si="65"/>
        <v>2.6000000000000003E-3</v>
      </c>
      <c r="AF122">
        <f t="shared" si="66"/>
        <v>0.62400000000000011</v>
      </c>
      <c r="AG122">
        <f t="shared" si="67"/>
        <v>45.299455535390202</v>
      </c>
      <c r="AH122" s="15">
        <f>AG122*BS37</f>
        <v>45.752450090744105</v>
      </c>
      <c r="AI122" s="21">
        <f t="shared" si="68"/>
        <v>0.88477088948787064</v>
      </c>
      <c r="AJ122" s="18">
        <f t="shared" si="69"/>
        <v>0.11522911051212933</v>
      </c>
      <c r="AX122">
        <v>50</v>
      </c>
      <c r="AY122">
        <f>15</f>
        <v>15</v>
      </c>
      <c r="AZ122">
        <v>4.7</v>
      </c>
      <c r="BA122">
        <f t="shared" si="70"/>
        <v>4.7000000000000002E-3</v>
      </c>
      <c r="BB122">
        <f t="shared" si="71"/>
        <v>4.1666666666666666E-3</v>
      </c>
      <c r="BC122">
        <f t="shared" si="72"/>
        <v>1.1280000000000001</v>
      </c>
      <c r="BD122">
        <f t="shared" si="73"/>
        <v>81.887477313974586</v>
      </c>
      <c r="BE122" s="18">
        <f t="shared" si="74"/>
        <v>0.6619718309859155</v>
      </c>
    </row>
    <row r="123" spans="7:58" x14ac:dyDescent="0.25">
      <c r="G123">
        <v>70</v>
      </c>
      <c r="H123">
        <f>15</f>
        <v>15</v>
      </c>
      <c r="I123">
        <v>6.9</v>
      </c>
      <c r="J123">
        <f t="shared" si="60"/>
        <v>6.9000000000000008E-3</v>
      </c>
      <c r="K123">
        <f t="shared" si="61"/>
        <v>4.1666666666666666E-3</v>
      </c>
      <c r="L123">
        <f t="shared" si="62"/>
        <v>1.6560000000000001</v>
      </c>
      <c r="M123">
        <f t="shared" si="63"/>
        <v>120.21778584392015</v>
      </c>
      <c r="S123">
        <v>180</v>
      </c>
      <c r="T123">
        <f>10.8*10^3</f>
        <v>10800</v>
      </c>
      <c r="U123">
        <f>7.39</f>
        <v>7.39</v>
      </c>
      <c r="V123" s="15">
        <f>24.9</f>
        <v>24.9</v>
      </c>
      <c r="W123">
        <f>11.8*10^3</f>
        <v>11800</v>
      </c>
      <c r="X123">
        <f>7.16</f>
        <v>7.16</v>
      </c>
      <c r="Y123">
        <f>164.2</f>
        <v>164.2</v>
      </c>
      <c r="Z123">
        <f>0.1207</f>
        <v>0.1207</v>
      </c>
      <c r="AA123">
        <v>20.8</v>
      </c>
      <c r="AB123">
        <v>2.6</v>
      </c>
      <c r="AC123">
        <f>15</f>
        <v>15</v>
      </c>
      <c r="AD123">
        <f t="shared" si="64"/>
        <v>4.1666666666666666E-3</v>
      </c>
      <c r="AE123">
        <f t="shared" si="65"/>
        <v>2.6000000000000003E-3</v>
      </c>
      <c r="AF123">
        <f t="shared" si="66"/>
        <v>0.62400000000000011</v>
      </c>
      <c r="AG123">
        <f t="shared" si="67"/>
        <v>45.299455535390202</v>
      </c>
      <c r="AH123" s="15">
        <f>AG123*BS39</f>
        <v>45.435353901996365</v>
      </c>
      <c r="AI123" s="21">
        <f t="shared" si="68"/>
        <v>0.87863881401617239</v>
      </c>
      <c r="AJ123" s="18">
        <f t="shared" si="69"/>
        <v>0.12136118598382761</v>
      </c>
      <c r="AX123">
        <v>60</v>
      </c>
      <c r="AY123">
        <f>15</f>
        <v>15</v>
      </c>
      <c r="AZ123">
        <v>4.5999999999999996</v>
      </c>
      <c r="BA123">
        <f t="shared" si="70"/>
        <v>4.5999999999999999E-3</v>
      </c>
      <c r="BB123">
        <f t="shared" si="71"/>
        <v>4.1666666666666666E-3</v>
      </c>
      <c r="BC123">
        <f t="shared" si="72"/>
        <v>1.1040000000000001</v>
      </c>
      <c r="BD123">
        <f t="shared" si="73"/>
        <v>80.145190562613422</v>
      </c>
      <c r="BE123" s="18">
        <f t="shared" si="74"/>
        <v>0.65714285714285714</v>
      </c>
    </row>
    <row r="124" spans="7:58" x14ac:dyDescent="0.25">
      <c r="G124">
        <v>80</v>
      </c>
      <c r="H124">
        <f>15</f>
        <v>15</v>
      </c>
      <c r="I124">
        <v>6.9</v>
      </c>
      <c r="J124">
        <f t="shared" si="60"/>
        <v>6.9000000000000008E-3</v>
      </c>
      <c r="K124">
        <f t="shared" si="61"/>
        <v>4.1666666666666666E-3</v>
      </c>
      <c r="L124">
        <f t="shared" si="62"/>
        <v>1.6560000000000001</v>
      </c>
      <c r="M124">
        <f t="shared" si="63"/>
        <v>120.21778584392015</v>
      </c>
      <c r="S124">
        <v>210</v>
      </c>
      <c r="T124">
        <f>11.2*10^3</f>
        <v>11200</v>
      </c>
      <c r="U124">
        <f>7.95</f>
        <v>7.95</v>
      </c>
      <c r="V124" s="15">
        <f>25.2</f>
        <v>25.2</v>
      </c>
      <c r="W124">
        <f>12.1*10^3</f>
        <v>12100</v>
      </c>
      <c r="X124">
        <v>7.34</v>
      </c>
      <c r="Y124">
        <f>153.9</f>
        <v>153.9</v>
      </c>
      <c r="Z124">
        <v>0.1236</v>
      </c>
      <c r="AA124">
        <v>20.6</v>
      </c>
      <c r="AB124">
        <v>2.5</v>
      </c>
      <c r="AC124">
        <f>15</f>
        <v>15</v>
      </c>
      <c r="AD124">
        <f t="shared" si="64"/>
        <v>4.1666666666666666E-3</v>
      </c>
      <c r="AE124">
        <f t="shared" si="65"/>
        <v>2.5000000000000001E-3</v>
      </c>
      <c r="AF124">
        <f t="shared" si="66"/>
        <v>0.6</v>
      </c>
      <c r="AG124">
        <f t="shared" si="67"/>
        <v>43.557168784029038</v>
      </c>
      <c r="AH124" s="15">
        <f>AG124*BS42</f>
        <v>43.295825771324864</v>
      </c>
      <c r="AI124" s="21">
        <f t="shared" si="68"/>
        <v>0.83726415094339623</v>
      </c>
      <c r="AJ124" s="18">
        <f t="shared" si="69"/>
        <v>0.16273584905660379</v>
      </c>
      <c r="AX124">
        <v>70</v>
      </c>
      <c r="AY124">
        <f>15</f>
        <v>15</v>
      </c>
      <c r="AZ124">
        <v>4.5999999999999996</v>
      </c>
      <c r="BA124">
        <f t="shared" si="70"/>
        <v>4.5999999999999999E-3</v>
      </c>
      <c r="BB124">
        <f t="shared" si="71"/>
        <v>4.1666666666666666E-3</v>
      </c>
      <c r="BC124">
        <f t="shared" si="72"/>
        <v>1.1040000000000001</v>
      </c>
      <c r="BD124">
        <f t="shared" si="73"/>
        <v>80.145190562613422</v>
      </c>
      <c r="BE124" s="18">
        <f t="shared" si="74"/>
        <v>0.66666666666666652</v>
      </c>
    </row>
    <row r="125" spans="7:58" x14ac:dyDescent="0.25">
      <c r="G125">
        <v>90</v>
      </c>
      <c r="H125">
        <v>15</v>
      </c>
      <c r="I125">
        <v>6.8</v>
      </c>
      <c r="J125">
        <f t="shared" si="60"/>
        <v>6.7999999999999996E-3</v>
      </c>
      <c r="K125">
        <f t="shared" si="61"/>
        <v>4.1666666666666666E-3</v>
      </c>
      <c r="L125">
        <f t="shared" si="62"/>
        <v>1.6319999999999999</v>
      </c>
      <c r="M125">
        <f t="shared" si="63"/>
        <v>118.47549909255896</v>
      </c>
      <c r="S125">
        <v>240</v>
      </c>
      <c r="T125">
        <f>11.9*10^3</f>
        <v>11900</v>
      </c>
      <c r="U125">
        <v>8.2100000000000009</v>
      </c>
      <c r="V125" s="15">
        <f>25.5</f>
        <v>25.5</v>
      </c>
      <c r="W125">
        <f>13.29*10^3</f>
        <v>13290</v>
      </c>
      <c r="X125">
        <v>7.6</v>
      </c>
      <c r="Y125">
        <f>139.8</f>
        <v>139.80000000000001</v>
      </c>
      <c r="Z125">
        <v>0.12859999999999999</v>
      </c>
      <c r="AA125">
        <v>20.9</v>
      </c>
      <c r="AB125">
        <v>2.5</v>
      </c>
      <c r="AC125">
        <f>15</f>
        <v>15</v>
      </c>
      <c r="AD125">
        <f t="shared" si="64"/>
        <v>4.1666666666666666E-3</v>
      </c>
      <c r="AE125">
        <f t="shared" si="65"/>
        <v>2.5000000000000001E-3</v>
      </c>
      <c r="AF125">
        <f t="shared" si="66"/>
        <v>0.6</v>
      </c>
      <c r="AG125">
        <f t="shared" si="67"/>
        <v>43.557168784029038</v>
      </c>
      <c r="AH125" s="15">
        <f>AG125*BS45</f>
        <v>42.903811252268603</v>
      </c>
      <c r="AI125" s="21">
        <f t="shared" si="68"/>
        <v>0.82968328840970351</v>
      </c>
      <c r="AJ125" s="18">
        <f t="shared" si="69"/>
        <v>0.17031671159029649</v>
      </c>
      <c r="AX125">
        <v>80</v>
      </c>
      <c r="AY125">
        <f>15</f>
        <v>15</v>
      </c>
      <c r="AZ125">
        <v>4.5</v>
      </c>
      <c r="BA125">
        <f t="shared" si="70"/>
        <v>4.5000000000000005E-3</v>
      </c>
      <c r="BB125">
        <f t="shared" si="71"/>
        <v>4.1666666666666666E-3</v>
      </c>
      <c r="BC125">
        <f t="shared" si="72"/>
        <v>1.08</v>
      </c>
      <c r="BD125">
        <f t="shared" si="73"/>
        <v>78.402903811252273</v>
      </c>
      <c r="BE125" s="18">
        <f t="shared" si="74"/>
        <v>0.65217391304347827</v>
      </c>
    </row>
    <row r="126" spans="7:58" x14ac:dyDescent="0.25">
      <c r="G126">
        <v>100</v>
      </c>
      <c r="H126">
        <v>15</v>
      </c>
      <c r="I126">
        <v>6.8</v>
      </c>
      <c r="J126">
        <f t="shared" si="60"/>
        <v>6.7999999999999996E-3</v>
      </c>
      <c r="K126">
        <f t="shared" si="61"/>
        <v>4.1666666666666666E-3</v>
      </c>
      <c r="L126">
        <f t="shared" si="62"/>
        <v>1.6319999999999999</v>
      </c>
      <c r="M126">
        <f t="shared" si="63"/>
        <v>118.47549909255896</v>
      </c>
      <c r="AG126" s="1">
        <f>AVERAGE(AG117:AG125)</f>
        <v>43.557168784029038</v>
      </c>
      <c r="AH126" s="16">
        <f>AVERAGE(AH117:AH125)</f>
        <v>44.467416817906823</v>
      </c>
      <c r="AI126" s="26"/>
      <c r="AJ126" s="19"/>
      <c r="AX126">
        <v>90</v>
      </c>
      <c r="AY126">
        <f>15</f>
        <v>15</v>
      </c>
      <c r="AZ126">
        <v>4.5999999999999996</v>
      </c>
      <c r="BA126">
        <f t="shared" si="70"/>
        <v>4.5999999999999999E-3</v>
      </c>
      <c r="BB126">
        <f t="shared" si="71"/>
        <v>4.1666666666666666E-3</v>
      </c>
      <c r="BC126">
        <f t="shared" si="72"/>
        <v>1.1040000000000001</v>
      </c>
      <c r="BD126">
        <f t="shared" si="73"/>
        <v>80.145190562613422</v>
      </c>
      <c r="BE126" s="18">
        <f t="shared" si="74"/>
        <v>0.67647058823529416</v>
      </c>
    </row>
    <row r="127" spans="7:58" x14ac:dyDescent="0.25">
      <c r="G127">
        <v>110</v>
      </c>
      <c r="H127">
        <v>15</v>
      </c>
      <c r="I127">
        <v>6.7</v>
      </c>
      <c r="J127">
        <f t="shared" si="60"/>
        <v>6.7000000000000002E-3</v>
      </c>
      <c r="K127">
        <f t="shared" si="61"/>
        <v>4.1666666666666666E-3</v>
      </c>
      <c r="L127">
        <f t="shared" si="62"/>
        <v>1.6080000000000001</v>
      </c>
      <c r="M127">
        <f t="shared" si="63"/>
        <v>116.73321234119781</v>
      </c>
      <c r="AX127">
        <v>100</v>
      </c>
      <c r="AY127">
        <f>15</f>
        <v>15</v>
      </c>
      <c r="AZ127">
        <v>4.5</v>
      </c>
      <c r="BA127">
        <f t="shared" si="70"/>
        <v>4.5000000000000005E-3</v>
      </c>
      <c r="BB127">
        <f t="shared" si="71"/>
        <v>4.1666666666666666E-3</v>
      </c>
      <c r="BC127">
        <f t="shared" si="72"/>
        <v>1.08</v>
      </c>
      <c r="BD127">
        <f t="shared" si="73"/>
        <v>78.402903811252273</v>
      </c>
      <c r="BE127" s="18">
        <f t="shared" si="74"/>
        <v>0.66176470588235314</v>
      </c>
    </row>
    <row r="128" spans="7:58" x14ac:dyDescent="0.25">
      <c r="G128">
        <v>120</v>
      </c>
      <c r="H128">
        <v>15</v>
      </c>
      <c r="I128">
        <v>6.7</v>
      </c>
      <c r="J128">
        <f t="shared" si="60"/>
        <v>6.7000000000000002E-3</v>
      </c>
      <c r="K128">
        <f t="shared" si="61"/>
        <v>4.1666666666666666E-3</v>
      </c>
      <c r="L128">
        <f t="shared" si="62"/>
        <v>1.6080000000000001</v>
      </c>
      <c r="M128">
        <f t="shared" si="63"/>
        <v>116.73321234119781</v>
      </c>
      <c r="AX128">
        <v>110</v>
      </c>
      <c r="AY128">
        <f>15</f>
        <v>15</v>
      </c>
      <c r="AZ128">
        <v>4.4000000000000004</v>
      </c>
      <c r="BA128">
        <f t="shared" si="70"/>
        <v>4.4000000000000003E-3</v>
      </c>
      <c r="BB128">
        <f t="shared" si="71"/>
        <v>4.1666666666666666E-3</v>
      </c>
      <c r="BC128">
        <f t="shared" si="72"/>
        <v>1.056</v>
      </c>
      <c r="BD128">
        <f t="shared" si="73"/>
        <v>76.660617059891109</v>
      </c>
      <c r="BE128" s="18">
        <f t="shared" si="74"/>
        <v>0.65671641791044788</v>
      </c>
    </row>
    <row r="129" spans="13:57" x14ac:dyDescent="0.25">
      <c r="M129" s="1">
        <f>AVERAGE(M116:M127)</f>
        <v>119.92740471869327</v>
      </c>
      <c r="AX129">
        <v>120</v>
      </c>
      <c r="AY129">
        <f>15</f>
        <v>15</v>
      </c>
      <c r="AZ129">
        <v>4.4000000000000004</v>
      </c>
      <c r="BA129">
        <f t="shared" si="70"/>
        <v>4.4000000000000003E-3</v>
      </c>
      <c r="BB129">
        <f t="shared" si="71"/>
        <v>4.1666666666666666E-3</v>
      </c>
      <c r="BC129">
        <f t="shared" si="72"/>
        <v>1.056</v>
      </c>
      <c r="BD129">
        <f t="shared" si="73"/>
        <v>76.660617059891109</v>
      </c>
      <c r="BE129" s="18">
        <f t="shared" si="74"/>
        <v>0.65671641791044788</v>
      </c>
    </row>
    <row r="130" spans="13:57" x14ac:dyDescent="0.25">
      <c r="BD130" s="1">
        <f>AVERAGE(BD117:BD129)</f>
        <v>80.949322909395491</v>
      </c>
      <c r="BE130" s="19"/>
    </row>
    <row r="168" spans="23:27" x14ac:dyDescent="0.25">
      <c r="W168" s="23"/>
      <c r="X168" s="24" t="s">
        <v>23</v>
      </c>
      <c r="Y168" s="23"/>
      <c r="Z168" s="23"/>
      <c r="AA168" s="24" t="s">
        <v>24</v>
      </c>
    </row>
    <row r="169" spans="23:27" x14ac:dyDescent="0.25">
      <c r="W169" s="24" t="s">
        <v>26</v>
      </c>
      <c r="X169" s="25">
        <f>AK14</f>
        <v>0.26530612244897978</v>
      </c>
      <c r="Y169" s="23"/>
      <c r="Z169" s="25"/>
      <c r="AA169" s="25">
        <f>BF14</f>
        <v>0.55819477434679332</v>
      </c>
    </row>
    <row r="170" spans="23:27" x14ac:dyDescent="0.25">
      <c r="W170" s="24" t="s">
        <v>27</v>
      </c>
      <c r="X170" s="25">
        <f>AK40</f>
        <v>3.717826501429914E-2</v>
      </c>
      <c r="Y170" s="23"/>
      <c r="Z170" s="25"/>
      <c r="AA170" s="25">
        <f>BF40</f>
        <v>0.625</v>
      </c>
    </row>
    <row r="171" spans="23:27" x14ac:dyDescent="0.25">
      <c r="W171" s="24" t="s">
        <v>28</v>
      </c>
      <c r="X171" s="25">
        <f>AK65</f>
        <v>0.3021394064872327</v>
      </c>
      <c r="Y171" s="23"/>
      <c r="Z171" s="25"/>
      <c r="AA171" s="25">
        <f>BF65</f>
        <v>0.74751929437706732</v>
      </c>
    </row>
    <row r="172" spans="23:27" x14ac:dyDescent="0.25">
      <c r="W172" s="24" t="s">
        <v>29</v>
      </c>
      <c r="X172" s="25">
        <f>AK91</f>
        <v>0.2379316514582214</v>
      </c>
      <c r="Y172" s="23"/>
      <c r="Z172" s="25"/>
      <c r="AA172" s="25">
        <f>BF89</f>
        <v>0.71237458193979941</v>
      </c>
    </row>
    <row r="173" spans="23:27" x14ac:dyDescent="0.25">
      <c r="W173" s="24" t="s">
        <v>30</v>
      </c>
      <c r="X173" s="25">
        <f>AK117</f>
        <v>0.17031671159029649</v>
      </c>
      <c r="Y173" s="23"/>
      <c r="Z173" s="25"/>
      <c r="AA173" s="25">
        <f>BF117</f>
        <v>0.67498603091823428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Preliminary Test (Nacl+Water)</vt:lpstr>
      <vt:lpstr>Microbial fouling E.coli</vt:lpstr>
      <vt:lpstr>Microbial fouling S Aureus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Mailys Minang Nkombe</dc:creator>
  <cp:lastModifiedBy>Aude Mailys Minang Nkombe</cp:lastModifiedBy>
  <dcterms:created xsi:type="dcterms:W3CDTF">2023-10-19T11:24:27Z</dcterms:created>
  <dcterms:modified xsi:type="dcterms:W3CDTF">2024-02-22T00:01:56Z</dcterms:modified>
</cp:coreProperties>
</file>