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Baseline\"/>
    </mc:Choice>
  </mc:AlternateContent>
  <xr:revisionPtr revIDLastSave="0" documentId="13_ncr:1_{91D94120-B4CF-4171-AE26-BF731394BD85}" xr6:coauthVersionLast="47" xr6:coauthVersionMax="47" xr10:uidLastSave="{00000000-0000-0000-0000-000000000000}"/>
  <bookViews>
    <workbookView xWindow="-28920" yWindow="1830" windowWidth="29040" windowHeight="15840" tabRatio="886" xr2:uid="{C033A472-50C2-4BA0-92D2-1ABFB57F125A}"/>
  </bookViews>
  <sheets>
    <sheet name="Data" sheetId="1" r:id="rId1"/>
    <sheet name="Flux Chart" sheetId="5" r:id="rId2"/>
    <sheet name="Conductivity and Temperature" sheetId="6" r:id="rId3"/>
    <sheet name="Cumulative Volume Graph" sheetId="8" r:id="rId4"/>
    <sheet name="Average Flux and Cum. Volume" sheetId="9" r:id="rId5"/>
    <sheet name="Recovery" sheetId="10" r:id="rId6"/>
    <sheet name="Flux vs Recove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" i="1" l="1"/>
  <c r="AB4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5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5" i="1"/>
  <c r="Y28" i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14" i="1" l="1"/>
  <c r="AD15" i="1"/>
  <c r="AD17" i="1"/>
  <c r="AD22" i="1"/>
  <c r="V23" i="1"/>
  <c r="T72" i="1"/>
  <c r="T48" i="1"/>
  <c r="T24" i="1"/>
  <c r="AA28" i="1" s="1"/>
  <c r="S55" i="1"/>
  <c r="S56" i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70" i="1"/>
  <c r="T70" i="1" s="1"/>
  <c r="S30" i="1"/>
  <c r="S31" i="1"/>
  <c r="T31" i="1" s="1"/>
  <c r="S32" i="1"/>
  <c r="T32" i="1" s="1"/>
  <c r="S33" i="1"/>
  <c r="T33" i="1" s="1"/>
  <c r="S34" i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S45" i="1"/>
  <c r="T45" i="1" s="1"/>
  <c r="S46" i="1"/>
  <c r="T46" i="1" s="1"/>
  <c r="S29" i="1"/>
  <c r="R6" i="1"/>
  <c r="R7" i="1"/>
  <c r="S7" i="1" s="1"/>
  <c r="R8" i="1"/>
  <c r="S8" i="1" s="1"/>
  <c r="R9" i="1"/>
  <c r="S9" i="1" s="1"/>
  <c r="R10" i="1"/>
  <c r="S10" i="1" s="1"/>
  <c r="R11" i="1"/>
  <c r="S11" i="1" s="1"/>
  <c r="AE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S57" i="1"/>
  <c r="S58" i="1"/>
  <c r="S59" i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Z28" i="1" l="1"/>
  <c r="AE13" i="1"/>
  <c r="AE10" i="1"/>
  <c r="AA20" i="1"/>
  <c r="M71" i="1"/>
  <c r="AA21" i="1"/>
  <c r="AD20" i="1"/>
  <c r="AD19" i="1"/>
  <c r="AD16" i="1"/>
  <c r="AD21" i="1"/>
  <c r="AD13" i="1"/>
  <c r="AD12" i="1"/>
  <c r="AD11" i="1"/>
  <c r="AD18" i="1"/>
  <c r="AA5" i="1"/>
  <c r="AA9" i="1"/>
  <c r="AA8" i="1"/>
  <c r="AD10" i="1"/>
  <c r="AD9" i="1"/>
  <c r="AD8" i="1"/>
  <c r="AD7" i="1"/>
  <c r="AD6" i="1"/>
  <c r="AA17" i="1"/>
  <c r="AA11" i="1"/>
  <c r="AE8" i="1"/>
  <c r="AE7" i="1"/>
  <c r="AA10" i="1"/>
  <c r="AA22" i="1"/>
  <c r="AE20" i="1"/>
  <c r="AE19" i="1"/>
  <c r="AC18" i="1"/>
  <c r="AE18" i="1"/>
  <c r="AC9" i="1"/>
  <c r="AE9" i="1"/>
  <c r="AA6" i="1"/>
  <c r="AA16" i="1"/>
  <c r="AE17" i="1"/>
  <c r="AC21" i="1"/>
  <c r="AE21" i="1"/>
  <c r="AA19" i="1"/>
  <c r="AA15" i="1"/>
  <c r="AE16" i="1"/>
  <c r="AA18" i="1"/>
  <c r="AA14" i="1"/>
  <c r="AC15" i="1"/>
  <c r="AE15" i="1"/>
  <c r="AA7" i="1"/>
  <c r="AA13" i="1"/>
  <c r="AE14" i="1"/>
  <c r="AA12" i="1"/>
  <c r="AE22" i="1"/>
  <c r="AC12" i="1"/>
  <c r="AE12" i="1"/>
  <c r="T30" i="1"/>
  <c r="T47" i="1" s="1"/>
  <c r="X65" i="1"/>
  <c r="V47" i="1"/>
  <c r="M23" i="1"/>
  <c r="T22" i="1"/>
  <c r="T16" i="1"/>
  <c r="T17" i="1"/>
  <c r="T14" i="1"/>
  <c r="M47" i="1"/>
  <c r="AD5" i="1" l="1"/>
  <c r="AD23" i="1" s="1"/>
  <c r="AA23" i="1"/>
  <c r="AC11" i="1"/>
  <c r="AC22" i="1"/>
  <c r="AC19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AF7" i="1" l="1"/>
  <c r="AG6" i="1"/>
  <c r="AC6" i="1"/>
  <c r="AC23" i="1" s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<sst xmlns="http://schemas.openxmlformats.org/spreadsheetml/2006/main" count="126" uniqueCount="50">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</sst>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47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2" fontId="11" fillId="0" borderId="8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2" fontId="1" fillId="0" borderId="0" xfId="0" applyNumberFormat="1" applyFont="1"/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15.635944700464387</c:v>
                </c:pt>
                <c:pt idx="3">
                  <c:v>31.271889400910993</c:v>
                </c:pt>
                <c:pt idx="4">
                  <c:v>9.3815668202857427</c:v>
                </c:pt>
                <c:pt idx="5">
                  <c:v>6.2543778801786445</c:v>
                </c:pt>
                <c:pt idx="6">
                  <c:v>0</c:v>
                </c:pt>
                <c:pt idx="7">
                  <c:v>6.2543778801786445</c:v>
                </c:pt>
                <c:pt idx="8">
                  <c:v>6.2543778801875316</c:v>
                </c:pt>
                <c:pt idx="9">
                  <c:v>10.945161290321515</c:v>
                </c:pt>
                <c:pt idx="10">
                  <c:v>13.551152073738171</c:v>
                </c:pt>
                <c:pt idx="11">
                  <c:v>15.635944700455497</c:v>
                </c:pt>
                <c:pt idx="12">
                  <c:v>11.466359447000107</c:v>
                </c:pt>
                <c:pt idx="13">
                  <c:v>12.508755760375065</c:v>
                </c:pt>
                <c:pt idx="14">
                  <c:v>7.8179723502233047</c:v>
                </c:pt>
                <c:pt idx="15">
                  <c:v>6.2543778801875316</c:v>
                </c:pt>
                <c:pt idx="16">
                  <c:v>9.381566820267965</c:v>
                </c:pt>
                <c:pt idx="17">
                  <c:v>16.678341013827495</c:v>
                </c:pt>
                <c:pt idx="18">
                  <c:v>10.423963133642925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1">
                  <c:v>0</c:v>
                </c:pt>
                <c:pt idx="2">
                  <c:v>0.28275000000006434</c:v>
                </c:pt>
                <c:pt idx="3">
                  <c:v>0.65974999999993578</c:v>
                </c:pt>
                <c:pt idx="4">
                  <c:v>0.77285000000004711</c:v>
                </c:pt>
                <c:pt idx="5">
                  <c:v>0.84824999999997852</c:v>
                </c:pt>
                <c:pt idx="6">
                  <c:v>0.84824999999997852</c:v>
                </c:pt>
                <c:pt idx="7">
                  <c:v>0.92364999999990993</c:v>
                </c:pt>
                <c:pt idx="8">
                  <c:v>1.074449999999987</c:v>
                </c:pt>
                <c:pt idx="9">
                  <c:v>1.3383499999999615</c:v>
                </c:pt>
                <c:pt idx="10">
                  <c:v>1.8284500000001584</c:v>
                </c:pt>
                <c:pt idx="11">
                  <c:v>2.2054500000000301</c:v>
                </c:pt>
                <c:pt idx="12">
                  <c:v>2.620149999999867</c:v>
                </c:pt>
                <c:pt idx="13">
                  <c:v>3.0725500000000983</c:v>
                </c:pt>
                <c:pt idx="14">
                  <c:v>3.2610499999999272</c:v>
                </c:pt>
                <c:pt idx="15">
                  <c:v>3.4118500000000038</c:v>
                </c:pt>
                <c:pt idx="16">
                  <c:v>3.524949999999901</c:v>
                </c:pt>
                <c:pt idx="17">
                  <c:v>4.1281499999999953</c:v>
                </c:pt>
                <c:pt idx="18">
                  <c:v>4.5051500000000804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Flux</a:t>
            </a:r>
            <a:r>
              <a:rPr lang="en-US" baseline="0"/>
              <a:t> vs Recovery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Data!$AG$4:$AG$22</c:f>
              <c:numCache>
                <c:formatCode>General</c:formatCode>
                <c:ptCount val="19"/>
                <c:pt idx="1">
                  <c:v>0</c:v>
                </c:pt>
                <c:pt idx="2">
                  <c:v>0.28275000000006434</c:v>
                </c:pt>
                <c:pt idx="3">
                  <c:v>0.65974999999993578</c:v>
                </c:pt>
                <c:pt idx="4">
                  <c:v>0.77285000000004711</c:v>
                </c:pt>
                <c:pt idx="5">
                  <c:v>0.84824999999997852</c:v>
                </c:pt>
                <c:pt idx="6">
                  <c:v>0.84824999999997852</c:v>
                </c:pt>
                <c:pt idx="7">
                  <c:v>0.92364999999990993</c:v>
                </c:pt>
                <c:pt idx="8">
                  <c:v>1.074449999999987</c:v>
                </c:pt>
                <c:pt idx="9">
                  <c:v>1.3383499999999615</c:v>
                </c:pt>
                <c:pt idx="10">
                  <c:v>1.8284500000001584</c:v>
                </c:pt>
                <c:pt idx="11">
                  <c:v>2.2054500000000301</c:v>
                </c:pt>
                <c:pt idx="12">
                  <c:v>2.620149999999867</c:v>
                </c:pt>
                <c:pt idx="13">
                  <c:v>3.0725500000000983</c:v>
                </c:pt>
                <c:pt idx="14">
                  <c:v>3.2610499999999272</c:v>
                </c:pt>
                <c:pt idx="15">
                  <c:v>3.4118500000000038</c:v>
                </c:pt>
                <c:pt idx="16">
                  <c:v>3.524949999999901</c:v>
                </c:pt>
                <c:pt idx="17">
                  <c:v>4.1281499999999953</c:v>
                </c:pt>
                <c:pt idx="18">
                  <c:v>4.5051500000000804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15.635944700464387</c:v>
                </c:pt>
                <c:pt idx="3">
                  <c:v>31.271889400910993</c:v>
                </c:pt>
                <c:pt idx="4">
                  <c:v>9.3815668202857427</c:v>
                </c:pt>
                <c:pt idx="5">
                  <c:v>6.2543778801786445</c:v>
                </c:pt>
                <c:pt idx="6">
                  <c:v>0</c:v>
                </c:pt>
                <c:pt idx="7">
                  <c:v>6.2543778801786445</c:v>
                </c:pt>
                <c:pt idx="8">
                  <c:v>6.2543778801875316</c:v>
                </c:pt>
                <c:pt idx="9">
                  <c:v>10.945161290321515</c:v>
                </c:pt>
                <c:pt idx="10">
                  <c:v>13.551152073738171</c:v>
                </c:pt>
                <c:pt idx="11">
                  <c:v>15.635944700455497</c:v>
                </c:pt>
                <c:pt idx="12">
                  <c:v>11.466359447000107</c:v>
                </c:pt>
                <c:pt idx="13">
                  <c:v>12.508755760375065</c:v>
                </c:pt>
                <c:pt idx="14">
                  <c:v>7.8179723502233047</c:v>
                </c:pt>
                <c:pt idx="15">
                  <c:v>6.2543778801875316</c:v>
                </c:pt>
                <c:pt idx="16">
                  <c:v>9.381566820267965</c:v>
                </c:pt>
                <c:pt idx="17">
                  <c:v>16.678341013827495</c:v>
                </c:pt>
                <c:pt idx="18">
                  <c:v>10.423963133642925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6-4FE2-BA42-A2B5CA7B5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"/>
      </c:valAx>
      <c:valAx>
        <c:axId val="29014415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Data!$T$5:$T$22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31.271889400928774</c:v>
                </c:pt>
                <c:pt idx="10">
                  <c:v>0</c:v>
                </c:pt>
                <c:pt idx="11">
                  <c:v>15.635944700446609</c:v>
                </c:pt>
                <c:pt idx="12">
                  <c:v>15.635944700464387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15.635944700464387</c:v>
                </c:pt>
                <c:pt idx="17">
                  <c:v>15.635944700464387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Data!$T$29:$T$46</c:f>
              <c:numCache>
                <c:formatCode>General</c:formatCode>
                <c:ptCount val="18"/>
                <c:pt idx="0">
                  <c:v>0</c:v>
                </c:pt>
                <c:pt idx="1">
                  <c:v>15.635944700464387</c:v>
                </c:pt>
                <c:pt idx="2">
                  <c:v>31.271889400910993</c:v>
                </c:pt>
                <c:pt idx="3">
                  <c:v>9.3815668202857427</c:v>
                </c:pt>
                <c:pt idx="4">
                  <c:v>6.2543778801786445</c:v>
                </c:pt>
                <c:pt idx="5">
                  <c:v>0</c:v>
                </c:pt>
                <c:pt idx="6">
                  <c:v>6.2543778801786445</c:v>
                </c:pt>
                <c:pt idx="7">
                  <c:v>6.2543778801964196</c:v>
                </c:pt>
                <c:pt idx="8">
                  <c:v>12.508755760357289</c:v>
                </c:pt>
                <c:pt idx="9">
                  <c:v>6.2543778801964196</c:v>
                </c:pt>
                <c:pt idx="10">
                  <c:v>21.89032258064303</c:v>
                </c:pt>
                <c:pt idx="11">
                  <c:v>9.381566820267965</c:v>
                </c:pt>
                <c:pt idx="12">
                  <c:v>6.2543778801964196</c:v>
                </c:pt>
                <c:pt idx="13">
                  <c:v>6.2543778801786445</c:v>
                </c:pt>
                <c:pt idx="14">
                  <c:v>6.2543778801786445</c:v>
                </c:pt>
                <c:pt idx="15">
                  <c:v>0</c:v>
                </c:pt>
                <c:pt idx="16">
                  <c:v>18.763133640553708</c:v>
                </c:pt>
                <c:pt idx="17">
                  <c:v>9.3815668202857427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Data!$T$53:$T$70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6.2543778801786445</c:v>
                </c:pt>
                <c:pt idx="8">
                  <c:v>9.3815668202857427</c:v>
                </c:pt>
                <c:pt idx="9">
                  <c:v>3.1271889400893222</c:v>
                </c:pt>
                <c:pt idx="10">
                  <c:v>9.381566820267965</c:v>
                </c:pt>
                <c:pt idx="11">
                  <c:v>9.3815668202857427</c:v>
                </c:pt>
                <c:pt idx="12">
                  <c:v>15.635944700464387</c:v>
                </c:pt>
                <c:pt idx="13">
                  <c:v>9.381566820267965</c:v>
                </c:pt>
                <c:pt idx="14">
                  <c:v>6.2543778801964196</c:v>
                </c:pt>
                <c:pt idx="15">
                  <c:v>9.381566820267965</c:v>
                </c:pt>
                <c:pt idx="16">
                  <c:v>15.635944700464387</c:v>
                </c:pt>
                <c:pt idx="17">
                  <c:v>6.2543778801786445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Data!$H$4:$H$22</c:f>
              <c:numCache>
                <c:formatCode>0.0</c:formatCode>
                <c:ptCount val="19"/>
                <c:pt idx="0">
                  <c:v>37.82</c:v>
                </c:pt>
                <c:pt idx="1">
                  <c:v>38.770000000000003</c:v>
                </c:pt>
                <c:pt idx="2">
                  <c:v>39.39</c:v>
                </c:pt>
                <c:pt idx="3">
                  <c:v>39.619999999999997</c:v>
                </c:pt>
                <c:pt idx="4">
                  <c:v>39.67</c:v>
                </c:pt>
                <c:pt idx="5">
                  <c:v>39.72</c:v>
                </c:pt>
                <c:pt idx="6">
                  <c:v>39.799999999999997</c:v>
                </c:pt>
                <c:pt idx="7">
                  <c:v>39.79</c:v>
                </c:pt>
                <c:pt idx="8">
                  <c:v>39.799999999999997</c:v>
                </c:pt>
                <c:pt idx="9">
                  <c:v>39.840000000000003</c:v>
                </c:pt>
                <c:pt idx="10">
                  <c:v>39.85</c:v>
                </c:pt>
                <c:pt idx="11">
                  <c:v>39.840000000000003</c:v>
                </c:pt>
                <c:pt idx="12">
                  <c:v>39.840000000000003</c:v>
                </c:pt>
                <c:pt idx="13">
                  <c:v>39.840000000000003</c:v>
                </c:pt>
                <c:pt idx="14">
                  <c:v>39.840000000000003</c:v>
                </c:pt>
                <c:pt idx="15">
                  <c:v>39.909999999999997</c:v>
                </c:pt>
                <c:pt idx="16">
                  <c:v>39.97</c:v>
                </c:pt>
                <c:pt idx="17">
                  <c:v>39.909999999999997</c:v>
                </c:pt>
                <c:pt idx="18">
                  <c:v>39.950000000000003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70.666666666666671</c:v>
                </c:pt>
                <c:pt idx="1">
                  <c:v>71</c:v>
                </c:pt>
                <c:pt idx="2">
                  <c:v>71.3</c:v>
                </c:pt>
                <c:pt idx="3">
                  <c:v>71.566666666666663</c:v>
                </c:pt>
                <c:pt idx="4">
                  <c:v>71.766666666666666</c:v>
                </c:pt>
                <c:pt idx="5">
                  <c:v>71.966666666666654</c:v>
                </c:pt>
                <c:pt idx="6">
                  <c:v>72.166666666666657</c:v>
                </c:pt>
                <c:pt idx="7">
                  <c:v>72.366666666666674</c:v>
                </c:pt>
                <c:pt idx="8">
                  <c:v>72.566666666666677</c:v>
                </c:pt>
                <c:pt idx="9">
                  <c:v>72.766666666666666</c:v>
                </c:pt>
                <c:pt idx="10">
                  <c:v>72.933333333333337</c:v>
                </c:pt>
                <c:pt idx="11">
                  <c:v>73.233333333333334</c:v>
                </c:pt>
                <c:pt idx="12">
                  <c:v>73.399999999999991</c:v>
                </c:pt>
                <c:pt idx="13">
                  <c:v>73.63333333333334</c:v>
                </c:pt>
                <c:pt idx="14">
                  <c:v>73.8</c:v>
                </c:pt>
                <c:pt idx="15">
                  <c:v>74.066666666666663</c:v>
                </c:pt>
                <c:pt idx="16">
                  <c:v>74.3</c:v>
                </c:pt>
                <c:pt idx="17">
                  <c:v>74.533333333333346</c:v>
                </c:pt>
                <c:pt idx="18">
                  <c:v>74.766666666666666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3-449E-8333-A97698F27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5039"/>
        <c:axId val="144482159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7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strike="noStrike" baseline="30000"/>
                  <a:t>0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44482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5039"/>
        <c:crosses val="max"/>
        <c:crossBetween val="midCat"/>
      </c:valAx>
      <c:valAx>
        <c:axId val="144505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482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Permeate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Temperature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Data!$P$4:$P$22</c:f>
              <c:numCache>
                <c:formatCode>0.0</c:formatCode>
                <c:ptCount val="19"/>
                <c:pt idx="0">
                  <c:v>11.1000003814697</c:v>
                </c:pt>
                <c:pt idx="1">
                  <c:v>11.039999961853027</c:v>
                </c:pt>
                <c:pt idx="2">
                  <c:v>10.930000305175781</c:v>
                </c:pt>
                <c:pt idx="3">
                  <c:v>10.939999580383301</c:v>
                </c:pt>
                <c:pt idx="4">
                  <c:v>10.869999885559082</c:v>
                </c:pt>
                <c:pt idx="5">
                  <c:v>10.829999923706055</c:v>
                </c:pt>
                <c:pt idx="6">
                  <c:v>10.819999694824219</c:v>
                </c:pt>
                <c:pt idx="7">
                  <c:v>10.819999694824219</c:v>
                </c:pt>
                <c:pt idx="8">
                  <c:v>10.819999694824219</c:v>
                </c:pt>
                <c:pt idx="9">
                  <c:v>10.770000457763672</c:v>
                </c:pt>
                <c:pt idx="10">
                  <c:v>10.760000228881836</c:v>
                </c:pt>
                <c:pt idx="11">
                  <c:v>10.760000228881836</c:v>
                </c:pt>
                <c:pt idx="12">
                  <c:v>10.720000267028809</c:v>
                </c:pt>
                <c:pt idx="13">
                  <c:v>10.680000305175781</c:v>
                </c:pt>
                <c:pt idx="14">
                  <c:v>10.659999847412109</c:v>
                </c:pt>
                <c:pt idx="15">
                  <c:v>10.659999847412109</c:v>
                </c:pt>
                <c:pt idx="16">
                  <c:v>10.600000381469727</c:v>
                </c:pt>
                <c:pt idx="17">
                  <c:v>10.600000381469727</c:v>
                </c:pt>
                <c:pt idx="18">
                  <c:v>10.539999961853027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Conductivity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5.69</c:v>
                </c:pt>
                <c:pt idx="1">
                  <c:v>5.9133333333333331</c:v>
                </c:pt>
                <c:pt idx="2">
                  <c:v>6.3533333333333344</c:v>
                </c:pt>
                <c:pt idx="3">
                  <c:v>6.48</c:v>
                </c:pt>
                <c:pt idx="4">
                  <c:v>6.7</c:v>
                </c:pt>
                <c:pt idx="5">
                  <c:v>6.8</c:v>
                </c:pt>
                <c:pt idx="6">
                  <c:v>6.9066666666666663</c:v>
                </c:pt>
                <c:pt idx="7">
                  <c:v>7.0633333333333335</c:v>
                </c:pt>
                <c:pt idx="8">
                  <c:v>7.14</c:v>
                </c:pt>
                <c:pt idx="9">
                  <c:v>7.23</c:v>
                </c:pt>
                <c:pt idx="10">
                  <c:v>7.29</c:v>
                </c:pt>
                <c:pt idx="11">
                  <c:v>7.3166666666666664</c:v>
                </c:pt>
                <c:pt idx="12">
                  <c:v>7.4333333333333336</c:v>
                </c:pt>
                <c:pt idx="13">
                  <c:v>7.5066666666666668</c:v>
                </c:pt>
                <c:pt idx="14">
                  <c:v>7.6033333333333344</c:v>
                </c:pt>
                <c:pt idx="15">
                  <c:v>7.706666666666667</c:v>
                </c:pt>
                <c:pt idx="16">
                  <c:v>7.7833333333333323</c:v>
                </c:pt>
                <c:pt idx="17">
                  <c:v>7.876666666666666</c:v>
                </c:pt>
                <c:pt idx="18">
                  <c:v>8.0033333333333321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7-4695-A756-2D36A17C0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509072"/>
        <c:axId val="1092516560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 (</a:t>
                </a:r>
                <a:r>
                  <a:rPr lang="en-ZA" baseline="30000"/>
                  <a:t>O</a:t>
                </a:r>
                <a:r>
                  <a:rPr lang="en-ZA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109251656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Conductivity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509072"/>
        <c:crosses val="max"/>
        <c:crossBetween val="midCat"/>
      </c:valAx>
      <c:valAx>
        <c:axId val="109250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25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Permeate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Data!$AB$4:$AB$22</c:f>
              <c:numCache>
                <c:formatCode>0.00</c:formatCode>
                <c:ptCount val="19"/>
                <c:pt idx="0">
                  <c:v>5.69</c:v>
                </c:pt>
                <c:pt idx="1">
                  <c:v>5.9133333333333331</c:v>
                </c:pt>
                <c:pt idx="2">
                  <c:v>6.3533333333333344</c:v>
                </c:pt>
                <c:pt idx="3">
                  <c:v>6.48</c:v>
                </c:pt>
                <c:pt idx="4">
                  <c:v>6.7</c:v>
                </c:pt>
                <c:pt idx="5">
                  <c:v>6.8</c:v>
                </c:pt>
                <c:pt idx="6">
                  <c:v>6.9066666666666663</c:v>
                </c:pt>
                <c:pt idx="7">
                  <c:v>7.0633333333333335</c:v>
                </c:pt>
                <c:pt idx="8">
                  <c:v>7.14</c:v>
                </c:pt>
                <c:pt idx="9">
                  <c:v>7.23</c:v>
                </c:pt>
                <c:pt idx="10">
                  <c:v>7.29</c:v>
                </c:pt>
                <c:pt idx="11">
                  <c:v>7.3166666666666664</c:v>
                </c:pt>
                <c:pt idx="12">
                  <c:v>7.4333333333333336</c:v>
                </c:pt>
                <c:pt idx="13">
                  <c:v>7.5066666666666668</c:v>
                </c:pt>
                <c:pt idx="14">
                  <c:v>7.6033333333333344</c:v>
                </c:pt>
                <c:pt idx="15">
                  <c:v>7.706666666666667</c:v>
                </c:pt>
                <c:pt idx="16">
                  <c:v>7.7833333333333323</c:v>
                </c:pt>
                <c:pt idx="17">
                  <c:v>7.876666666666666</c:v>
                </c:pt>
                <c:pt idx="18">
                  <c:v>8.0033333333333321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58784"/>
        <c:axId val="307758368"/>
      </c:scatterChart>
      <c:scatterChart>
        <c:scatterStyle val="lineMarker"/>
        <c:varyColors val="0"/>
        <c:ser>
          <c:idx val="0"/>
          <c:order val="0"/>
          <c:tx>
            <c:v>Feed EC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Data!$Z$4:$Z$22</c:f>
              <c:numCache>
                <c:formatCode>0.0</c:formatCode>
                <c:ptCount val="19"/>
                <c:pt idx="0">
                  <c:v>70.666666666666671</c:v>
                </c:pt>
                <c:pt idx="1">
                  <c:v>71</c:v>
                </c:pt>
                <c:pt idx="2">
                  <c:v>71.3</c:v>
                </c:pt>
                <c:pt idx="3">
                  <c:v>71.566666666666663</c:v>
                </c:pt>
                <c:pt idx="4">
                  <c:v>71.766666666666666</c:v>
                </c:pt>
                <c:pt idx="5">
                  <c:v>71.966666666666654</c:v>
                </c:pt>
                <c:pt idx="6">
                  <c:v>72.166666666666657</c:v>
                </c:pt>
                <c:pt idx="7">
                  <c:v>72.366666666666674</c:v>
                </c:pt>
                <c:pt idx="8">
                  <c:v>72.566666666666677</c:v>
                </c:pt>
                <c:pt idx="9">
                  <c:v>72.766666666666666</c:v>
                </c:pt>
                <c:pt idx="10">
                  <c:v>72.933333333333337</c:v>
                </c:pt>
                <c:pt idx="11">
                  <c:v>73.233333333333334</c:v>
                </c:pt>
                <c:pt idx="12">
                  <c:v>73.399999999999991</c:v>
                </c:pt>
                <c:pt idx="13">
                  <c:v>73.63333333333334</c:v>
                </c:pt>
                <c:pt idx="14">
                  <c:v>73.8</c:v>
                </c:pt>
                <c:pt idx="15">
                  <c:v>74.066666666666663</c:v>
                </c:pt>
                <c:pt idx="16">
                  <c:v>74.3</c:v>
                </c:pt>
                <c:pt idx="17">
                  <c:v>74.533333333333346</c:v>
                </c:pt>
                <c:pt idx="18">
                  <c:v>74.766666666666666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A-46CE-A5B8-9C8EEEC36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411295"/>
        <c:axId val="707410463"/>
      </c:scatterChart>
      <c:valAx>
        <c:axId val="3077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368"/>
        <c:crosses val="autoZero"/>
        <c:crossBetween val="midCat"/>
        <c:majorUnit val="10"/>
      </c:valAx>
      <c:valAx>
        <c:axId val="307758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(µS/cm)</a:t>
                </a:r>
                <a:endParaRPr lang="en-ZA" sz="10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758784"/>
        <c:crosses val="autoZero"/>
        <c:crossBetween val="midCat"/>
      </c:valAx>
      <c:valAx>
        <c:axId val="707410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Conductivity (mS/cm)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11295"/>
        <c:crosses val="max"/>
        <c:crossBetween val="midCat"/>
      </c:valAx>
      <c:valAx>
        <c:axId val="70741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41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5.6550000000012863</c:v>
                </c:pt>
                <c:pt idx="3">
                  <c:v>13.194999999998714</c:v>
                </c:pt>
                <c:pt idx="4">
                  <c:v>15.457000000000942</c:v>
                </c:pt>
                <c:pt idx="5">
                  <c:v>16.96499999999957</c:v>
                </c:pt>
                <c:pt idx="6">
                  <c:v>16.96499999999957</c:v>
                </c:pt>
                <c:pt idx="7">
                  <c:v>18.472999999998198</c:v>
                </c:pt>
                <c:pt idx="8">
                  <c:v>21.488999999999741</c:v>
                </c:pt>
                <c:pt idx="9">
                  <c:v>26.766999999999229</c:v>
                </c:pt>
                <c:pt idx="10">
                  <c:v>36.569000000003172</c:v>
                </c:pt>
                <c:pt idx="11">
                  <c:v>44.109000000000599</c:v>
                </c:pt>
                <c:pt idx="12">
                  <c:v>52.402999999997341</c:v>
                </c:pt>
                <c:pt idx="13">
                  <c:v>61.451000000001969</c:v>
                </c:pt>
                <c:pt idx="14">
                  <c:v>65.22099999999854</c:v>
                </c:pt>
                <c:pt idx="15">
                  <c:v>68.23700000000008</c:v>
                </c:pt>
                <c:pt idx="16">
                  <c:v>70.49899999999802</c:v>
                </c:pt>
                <c:pt idx="17">
                  <c:v>82.562999999999903</c:v>
                </c:pt>
                <c:pt idx="18">
                  <c:v>90.103000000001614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15.635944700464387</c:v>
                </c:pt>
                <c:pt idx="3">
                  <c:v>31.271889400910993</c:v>
                </c:pt>
                <c:pt idx="4">
                  <c:v>9.3815668202857427</c:v>
                </c:pt>
                <c:pt idx="5">
                  <c:v>6.2543778801786445</c:v>
                </c:pt>
                <c:pt idx="6">
                  <c:v>0</c:v>
                </c:pt>
                <c:pt idx="7">
                  <c:v>6.2543778801786445</c:v>
                </c:pt>
                <c:pt idx="8">
                  <c:v>6.2543778801875316</c:v>
                </c:pt>
                <c:pt idx="9">
                  <c:v>10.945161290321515</c:v>
                </c:pt>
                <c:pt idx="10">
                  <c:v>13.551152073738171</c:v>
                </c:pt>
                <c:pt idx="11">
                  <c:v>15.635944700455497</c:v>
                </c:pt>
                <c:pt idx="12">
                  <c:v>11.466359447000107</c:v>
                </c:pt>
                <c:pt idx="13">
                  <c:v>12.508755760375065</c:v>
                </c:pt>
                <c:pt idx="14">
                  <c:v>7.8179723502233047</c:v>
                </c:pt>
                <c:pt idx="15">
                  <c:v>6.2543778801875316</c:v>
                </c:pt>
                <c:pt idx="16">
                  <c:v>9.381566820267965</c:v>
                </c:pt>
                <c:pt idx="17">
                  <c:v>16.678341013827495</c:v>
                </c:pt>
                <c:pt idx="18">
                  <c:v>10.423963133642925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5.6550000000012863</c:v>
                </c:pt>
                <c:pt idx="3">
                  <c:v>13.194999999998714</c:v>
                </c:pt>
                <c:pt idx="4">
                  <c:v>15.457000000000942</c:v>
                </c:pt>
                <c:pt idx="5">
                  <c:v>16.96499999999957</c:v>
                </c:pt>
                <c:pt idx="6">
                  <c:v>16.96499999999957</c:v>
                </c:pt>
                <c:pt idx="7">
                  <c:v>18.472999999998198</c:v>
                </c:pt>
                <c:pt idx="8">
                  <c:v>21.488999999999741</c:v>
                </c:pt>
                <c:pt idx="9">
                  <c:v>26.766999999999229</c:v>
                </c:pt>
                <c:pt idx="10">
                  <c:v>36.569000000003172</c:v>
                </c:pt>
                <c:pt idx="11">
                  <c:v>44.109000000000599</c:v>
                </c:pt>
                <c:pt idx="12">
                  <c:v>52.402999999997341</c:v>
                </c:pt>
                <c:pt idx="13">
                  <c:v>61.451000000001969</c:v>
                </c:pt>
                <c:pt idx="14">
                  <c:v>65.22099999999854</c:v>
                </c:pt>
                <c:pt idx="15">
                  <c:v>68.23700000000008</c:v>
                </c:pt>
                <c:pt idx="16">
                  <c:v>70.49899999999802</c:v>
                </c:pt>
                <c:pt idx="17">
                  <c:v>82.562999999999903</c:v>
                </c:pt>
                <c:pt idx="18">
                  <c:v>90.103000000001614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89296</xdr:colOff>
      <xdr:row>0</xdr:row>
      <xdr:rowOff>146446</xdr:rowOff>
    </xdr:from>
    <xdr:to>
      <xdr:col>14</xdr:col>
      <xdr:colOff>600139</xdr:colOff>
      <xdr:row>29</xdr:row>
      <xdr:rowOff>21946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53BC4F-7D92-4087-9F0D-9177278AA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333375</xdr:colOff>
      <xdr:row>0</xdr:row>
      <xdr:rowOff>142875</xdr:rowOff>
    </xdr:from>
    <xdr:to>
      <xdr:col>30</xdr:col>
      <xdr:colOff>46500</xdr:colOff>
      <xdr:row>29</xdr:row>
      <xdr:rowOff>18375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B9E93B-9CD6-40D6-BAE1-F19C65CE0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29</xdr:row>
      <xdr:rowOff>122464</xdr:rowOff>
    </xdr:from>
    <xdr:to>
      <xdr:col>14</xdr:col>
      <xdr:colOff>606093</xdr:colOff>
      <xdr:row>57</xdr:row>
      <xdr:rowOff>188464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4272E9-367F-4F7B-A62E-54DC3D8B6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16</xdr:col>
      <xdr:colOff>465600</xdr:colOff>
      <xdr:row>30</xdr:row>
      <xdr:rowOff>66000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B40CB-768E-4F93-8111-E2FE59575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tabSelected="1" topLeftCell="Q1" zoomScale="70" zoomScaleNormal="70" workbookViewId="0">
      <selection activeCell="AC11" sqref="AC11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74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20" t="s">
        <v>36</v>
      </c>
      <c r="C2" s="88"/>
      <c r="D2" s="6"/>
      <c r="E2" s="145" t="s">
        <v>12</v>
      </c>
      <c r="F2" s="7"/>
      <c r="G2" s="153" t="s">
        <v>10</v>
      </c>
      <c r="H2" s="154"/>
      <c r="I2" s="154"/>
      <c r="J2" s="154"/>
      <c r="K2" s="154"/>
      <c r="L2" s="154"/>
      <c r="M2" s="155"/>
      <c r="N2" s="8"/>
      <c r="O2" s="153" t="s">
        <v>11</v>
      </c>
      <c r="P2" s="154"/>
      <c r="Q2" s="154"/>
      <c r="R2" s="154"/>
      <c r="S2" s="154"/>
      <c r="T2" s="154"/>
      <c r="U2" s="154"/>
      <c r="V2" s="155"/>
      <c r="W2" s="1"/>
      <c r="X2" s="137" t="s">
        <v>41</v>
      </c>
      <c r="Y2" s="142" t="s">
        <v>7</v>
      </c>
      <c r="Z2" s="140" t="s">
        <v>42</v>
      </c>
      <c r="AA2" s="141"/>
      <c r="AB2" s="140" t="s">
        <v>43</v>
      </c>
      <c r="AC2" s="141"/>
      <c r="AD2" s="77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46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31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19" t="s">
        <v>20</v>
      </c>
      <c r="V3" s="18" t="s">
        <v>21</v>
      </c>
      <c r="W3" s="103"/>
      <c r="X3" s="138"/>
      <c r="Y3" s="143"/>
      <c r="Z3" s="12" t="s">
        <v>8</v>
      </c>
      <c r="AA3" s="11" t="s">
        <v>25</v>
      </c>
      <c r="AB3" s="121" t="s">
        <v>26</v>
      </c>
      <c r="AC3" s="18" t="s">
        <v>30</v>
      </c>
      <c r="AD3" s="18" t="s">
        <v>21</v>
      </c>
      <c r="AE3" s="18" t="s">
        <v>31</v>
      </c>
      <c r="AF3" s="92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20" t="s">
        <v>2</v>
      </c>
      <c r="C4" s="21" t="s">
        <v>48</v>
      </c>
      <c r="D4" s="6"/>
      <c r="E4" s="146"/>
      <c r="F4" s="22">
        <v>0</v>
      </c>
      <c r="G4" s="60">
        <v>70.5</v>
      </c>
      <c r="H4" s="66">
        <v>37.82</v>
      </c>
      <c r="I4" s="61">
        <v>410.6</v>
      </c>
      <c r="J4" s="61"/>
      <c r="K4" s="23"/>
      <c r="L4" s="23"/>
      <c r="M4" s="24"/>
      <c r="N4" s="25"/>
      <c r="O4" s="80">
        <v>6.7</v>
      </c>
      <c r="P4" s="66">
        <v>11.1000003814697</v>
      </c>
      <c r="Q4" s="61">
        <v>427.5</v>
      </c>
      <c r="R4" s="26"/>
      <c r="S4" s="26"/>
      <c r="T4" s="23"/>
      <c r="U4" s="83">
        <v>45.8</v>
      </c>
      <c r="V4" s="71"/>
      <c r="W4" s="104"/>
      <c r="X4" s="139"/>
      <c r="Y4" s="99">
        <v>0</v>
      </c>
      <c r="Z4" s="109">
        <f t="shared" ref="Z4:Z22" si="0">AVERAGE(G4,G28,G52)</f>
        <v>70.666666666666671</v>
      </c>
      <c r="AA4" s="111">
        <v>0</v>
      </c>
      <c r="AB4" s="116">
        <f>AVERAGE(O4,O28,O52)</f>
        <v>5.69</v>
      </c>
      <c r="AC4" s="111" t="s">
        <v>49</v>
      </c>
      <c r="AD4" s="101">
        <v>0</v>
      </c>
      <c r="AE4" s="97">
        <v>0</v>
      </c>
      <c r="AF4" s="79">
        <v>0</v>
      </c>
      <c r="AG4" s="78"/>
      <c r="AH4" s="4"/>
      <c r="AI4" s="4"/>
      <c r="AJ4" s="4"/>
    </row>
    <row r="5" spans="1:41" ht="20.100000000000001" customHeight="1" x14ac:dyDescent="0.25">
      <c r="A5" s="1"/>
      <c r="B5" s="20" t="s">
        <v>32</v>
      </c>
      <c r="C5" s="21">
        <v>4.3400000000000001E-3</v>
      </c>
      <c r="D5" s="6"/>
      <c r="E5" s="146"/>
      <c r="F5" s="27">
        <v>10</v>
      </c>
      <c r="G5" s="62">
        <v>70.900000000000006</v>
      </c>
      <c r="H5" s="67">
        <v>38.770000000000003</v>
      </c>
      <c r="I5" s="63">
        <v>410.3</v>
      </c>
      <c r="J5" s="63"/>
      <c r="K5" s="28">
        <f>(I4-I5)*10</f>
        <v>3.0000000000001137</v>
      </c>
      <c r="L5" s="28">
        <f>K5*$C$11</f>
        <v>64.92000000000246</v>
      </c>
      <c r="M5" s="29">
        <f>(L5/1000)/((1/6)*$C$5)</f>
        <v>89.751152073736122</v>
      </c>
      <c r="N5" s="25"/>
      <c r="O5" s="81">
        <v>7.1</v>
      </c>
      <c r="P5" s="67">
        <v>11.039999961853027</v>
      </c>
      <c r="Q5" s="63">
        <v>427.5</v>
      </c>
      <c r="R5" s="30">
        <f>-(Q4-Q5)*10</f>
        <v>0</v>
      </c>
      <c r="S5" s="30">
        <f>R5*$C$12</f>
        <v>0</v>
      </c>
      <c r="T5" s="28" t="s">
        <v>49</v>
      </c>
      <c r="U5" s="150"/>
      <c r="V5" s="71">
        <f>(1-((O5/1000)/G5))*100</f>
        <v>99.98998589562764</v>
      </c>
      <c r="W5" s="1"/>
      <c r="X5" s="139"/>
      <c r="Y5" s="100">
        <v>10</v>
      </c>
      <c r="Z5" s="110">
        <f t="shared" si="0"/>
        <v>71</v>
      </c>
      <c r="AA5" s="112">
        <f t="shared" ref="AA5:AA22" si="1">AVERAGE(M5,M29,M53)</f>
        <v>39.889400921662386</v>
      </c>
      <c r="AB5" s="116">
        <f>AVERAGE(O5,O29,O53)</f>
        <v>5.9133333333333331</v>
      </c>
      <c r="AC5" s="112" t="s">
        <v>49</v>
      </c>
      <c r="AD5" s="102">
        <f>AVERAGE(V5,V29,V53)</f>
        <v>99.991672168886495</v>
      </c>
      <c r="AE5" s="97">
        <f t="shared" ref="AE5:AE22" si="2">AVERAGE(S5,S29,S53)</f>
        <v>0</v>
      </c>
      <c r="AF5" s="77">
        <f>AE5+AF4</f>
        <v>0</v>
      </c>
      <c r="AG5" s="57">
        <f>(AF5/$C$23)*100</f>
        <v>0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46"/>
      <c r="F6" s="27">
        <v>20</v>
      </c>
      <c r="G6" s="62">
        <v>71</v>
      </c>
      <c r="H6" s="67">
        <v>39.39</v>
      </c>
      <c r="I6" s="63">
        <v>410.25</v>
      </c>
      <c r="J6" s="63"/>
      <c r="K6" s="28">
        <f t="shared" ref="K6:K22" si="3">(I5-I6)*10</f>
        <v>0.50000000000011369</v>
      </c>
      <c r="L6" s="28">
        <f t="shared" ref="L6:L22" si="4">K6*$C$11</f>
        <v>10.820000000002461</v>
      </c>
      <c r="M6" s="29">
        <f t="shared" ref="M6:M22" si="5">(L6/1000)/((1/6)*$C$5)</f>
        <v>14.958525345625523</v>
      </c>
      <c r="N6" s="25"/>
      <c r="O6" s="81">
        <v>7.18</v>
      </c>
      <c r="P6" s="67">
        <v>10.930000305175781</v>
      </c>
      <c r="Q6" s="63">
        <v>427.5</v>
      </c>
      <c r="R6" s="30">
        <f t="shared" ref="R6:R22" si="6">-(Q5-Q6)*10</f>
        <v>0</v>
      </c>
      <c r="S6" s="30"/>
      <c r="T6" s="28" t="s">
        <v>49</v>
      </c>
      <c r="U6" s="151"/>
      <c r="V6" s="71">
        <f t="shared" ref="V6:V22" si="7">(1-((O6/1000)/G6))*100</f>
        <v>99.989887323943663</v>
      </c>
      <c r="W6" s="1"/>
      <c r="X6" s="139"/>
      <c r="Y6" s="100">
        <v>20</v>
      </c>
      <c r="Z6" s="110">
        <f t="shared" si="0"/>
        <v>71.3</v>
      </c>
      <c r="AA6" s="112">
        <f t="shared" si="1"/>
        <v>14.958525345625523</v>
      </c>
      <c r="AB6" s="116">
        <f t="shared" ref="AB6:AB22" si="8">AVERAGE(O6,O30,O54)</f>
        <v>6.3533333333333344</v>
      </c>
      <c r="AC6" s="112">
        <f t="shared" ref="AC5:AC22" si="9">AVERAGE(T6,T30,T54)</f>
        <v>15.635944700464387</v>
      </c>
      <c r="AD6" s="102">
        <f t="shared" ref="AD6:AD22" si="10">AVERAGE(V6,V30,V54)</f>
        <v>99.991096545285288</v>
      </c>
      <c r="AE6" s="97">
        <f t="shared" si="2"/>
        <v>5.6550000000012863</v>
      </c>
      <c r="AF6" s="77">
        <f t="shared" ref="AF6:AF22" si="11">AE6+AF5</f>
        <v>5.6550000000012863</v>
      </c>
      <c r="AG6" s="57">
        <f t="shared" ref="AG6:AG22" si="12">(AF6/$C$23)*100</f>
        <v>0.28275000000006434</v>
      </c>
      <c r="AH6" s="4"/>
      <c r="AI6" s="4"/>
      <c r="AJ6" s="4"/>
    </row>
    <row r="7" spans="1:41" ht="20.100000000000001" customHeight="1" x14ac:dyDescent="0.25">
      <c r="A7" s="1"/>
      <c r="B7" s="20" t="s">
        <v>33</v>
      </c>
      <c r="C7" s="21">
        <v>40</v>
      </c>
      <c r="D7" s="6"/>
      <c r="E7" s="146"/>
      <c r="F7" s="27">
        <v>30</v>
      </c>
      <c r="G7" s="62">
        <v>71.3</v>
      </c>
      <c r="H7" s="67">
        <v>39.619999999999997</v>
      </c>
      <c r="I7" s="63">
        <v>410.2</v>
      </c>
      <c r="J7" s="63"/>
      <c r="K7" s="28">
        <f t="shared" si="3"/>
        <v>0.50000000000011369</v>
      </c>
      <c r="L7" s="28">
        <f t="shared" si="4"/>
        <v>10.820000000002461</v>
      </c>
      <c r="M7" s="29">
        <f t="shared" si="5"/>
        <v>14.958525345625523</v>
      </c>
      <c r="N7" s="25"/>
      <c r="O7" s="81">
        <v>7.98</v>
      </c>
      <c r="P7" s="67">
        <v>10.939999580383301</v>
      </c>
      <c r="Q7" s="63">
        <v>427.5</v>
      </c>
      <c r="R7" s="30">
        <f t="shared" si="6"/>
        <v>0</v>
      </c>
      <c r="S7" s="30">
        <f t="shared" ref="S7:S22" si="13">R7*$C$12</f>
        <v>0</v>
      </c>
      <c r="T7" s="28" t="s">
        <v>49</v>
      </c>
      <c r="U7" s="151"/>
      <c r="V7" s="71">
        <f t="shared" si="7"/>
        <v>99.988807854137448</v>
      </c>
      <c r="W7" s="1"/>
      <c r="X7" s="139"/>
      <c r="Y7" s="100">
        <v>30</v>
      </c>
      <c r="Z7" s="110">
        <f t="shared" si="0"/>
        <v>71.566666666666663</v>
      </c>
      <c r="AA7" s="112">
        <f t="shared" si="1"/>
        <v>4.9861751152085079</v>
      </c>
      <c r="AB7" s="116">
        <f t="shared" si="8"/>
        <v>6.48</v>
      </c>
      <c r="AC7" s="112">
        <f t="shared" si="9"/>
        <v>31.271889400910993</v>
      </c>
      <c r="AD7" s="102">
        <f t="shared" si="10"/>
        <v>99.990948408704639</v>
      </c>
      <c r="AE7" s="97">
        <f t="shared" si="2"/>
        <v>7.5399999999974279</v>
      </c>
      <c r="AF7" s="77">
        <f t="shared" si="11"/>
        <v>13.194999999998714</v>
      </c>
      <c r="AG7" s="57">
        <f t="shared" si="12"/>
        <v>0.65974999999993578</v>
      </c>
      <c r="AH7" s="4"/>
      <c r="AI7" s="4"/>
      <c r="AJ7" s="4"/>
    </row>
    <row r="8" spans="1:41" ht="20.100000000000001" customHeight="1" x14ac:dyDescent="0.25">
      <c r="A8" s="1"/>
      <c r="B8" s="20" t="s">
        <v>34</v>
      </c>
      <c r="C8" s="21">
        <v>10</v>
      </c>
      <c r="D8" s="6"/>
      <c r="E8" s="146"/>
      <c r="F8" s="27">
        <v>40</v>
      </c>
      <c r="G8" s="62">
        <v>71.400000000000006</v>
      </c>
      <c r="H8" s="67">
        <v>39.67</v>
      </c>
      <c r="I8" s="63">
        <v>410.15</v>
      </c>
      <c r="J8" s="63"/>
      <c r="K8" s="28">
        <f t="shared" si="3"/>
        <v>0.50000000000011369</v>
      </c>
      <c r="L8" s="28">
        <f t="shared" si="4"/>
        <v>10.820000000002461</v>
      </c>
      <c r="M8" s="29">
        <f t="shared" si="5"/>
        <v>14.958525345625523</v>
      </c>
      <c r="N8" s="25"/>
      <c r="O8" s="81">
        <v>8.07</v>
      </c>
      <c r="P8" s="67">
        <v>10.869999885559082</v>
      </c>
      <c r="Q8" s="63">
        <v>427.5</v>
      </c>
      <c r="R8" s="30">
        <f t="shared" si="6"/>
        <v>0</v>
      </c>
      <c r="S8" s="30">
        <f t="shared" si="13"/>
        <v>0</v>
      </c>
      <c r="T8" s="28" t="s">
        <v>49</v>
      </c>
      <c r="U8" s="151"/>
      <c r="V8" s="71">
        <f t="shared" si="7"/>
        <v>99.988697478991597</v>
      </c>
      <c r="W8" s="1"/>
      <c r="X8" s="139"/>
      <c r="Y8" s="100">
        <v>40</v>
      </c>
      <c r="Z8" s="110">
        <f t="shared" si="0"/>
        <v>71.766666666666666</v>
      </c>
      <c r="AA8" s="112">
        <f t="shared" si="1"/>
        <v>14.958525345625523</v>
      </c>
      <c r="AB8" s="116">
        <f t="shared" si="8"/>
        <v>6.7</v>
      </c>
      <c r="AC8" s="112">
        <f t="shared" si="9"/>
        <v>9.3815668202857427</v>
      </c>
      <c r="AD8" s="102">
        <f t="shared" si="10"/>
        <v>99.990669234452412</v>
      </c>
      <c r="AE8" s="97">
        <f t="shared" si="2"/>
        <v>2.2620000000022289</v>
      </c>
      <c r="AF8" s="77">
        <f t="shared" si="11"/>
        <v>15.457000000000942</v>
      </c>
      <c r="AG8" s="57">
        <f t="shared" si="12"/>
        <v>0.77285000000004711</v>
      </c>
      <c r="AH8" s="4"/>
      <c r="AI8" s="4"/>
      <c r="AJ8" s="4"/>
    </row>
    <row r="9" spans="1:41" ht="20.100000000000001" customHeight="1" x14ac:dyDescent="0.25">
      <c r="A9" s="1"/>
      <c r="B9" s="20" t="s">
        <v>35</v>
      </c>
      <c r="C9" s="21">
        <f>C7-C8</f>
        <v>30</v>
      </c>
      <c r="D9" s="6"/>
      <c r="E9" s="146"/>
      <c r="F9" s="27">
        <v>50</v>
      </c>
      <c r="G9" s="62">
        <v>71.599999999999994</v>
      </c>
      <c r="H9" s="67">
        <v>39.72</v>
      </c>
      <c r="I9" s="63">
        <v>410.1</v>
      </c>
      <c r="J9" s="63"/>
      <c r="K9" s="28">
        <f t="shared" si="3"/>
        <v>0.49999999999954525</v>
      </c>
      <c r="L9" s="28">
        <f t="shared" si="4"/>
        <v>10.819999999990159</v>
      </c>
      <c r="M9" s="29">
        <f t="shared" si="5"/>
        <v>14.958525345608514</v>
      </c>
      <c r="N9" s="25"/>
      <c r="O9" s="81">
        <v>8.14</v>
      </c>
      <c r="P9" s="67">
        <v>10.829999923706055</v>
      </c>
      <c r="Q9" s="63">
        <v>427.5</v>
      </c>
      <c r="R9" s="30">
        <f t="shared" si="6"/>
        <v>0</v>
      </c>
      <c r="S9" s="30">
        <f t="shared" si="13"/>
        <v>0</v>
      </c>
      <c r="T9" s="28" t="s">
        <v>49</v>
      </c>
      <c r="U9" s="151"/>
      <c r="V9" s="71">
        <f t="shared" si="7"/>
        <v>99.988631284916195</v>
      </c>
      <c r="W9" s="1"/>
      <c r="X9" s="139"/>
      <c r="Y9" s="100">
        <v>50</v>
      </c>
      <c r="Z9" s="110">
        <f t="shared" si="0"/>
        <v>71.966666666666654</v>
      </c>
      <c r="AA9" s="112">
        <f t="shared" si="1"/>
        <v>4.9861751152028377</v>
      </c>
      <c r="AB9" s="116">
        <f t="shared" si="8"/>
        <v>6.8</v>
      </c>
      <c r="AC9" s="112">
        <f t="shared" si="9"/>
        <v>6.2543778801786445</v>
      </c>
      <c r="AD9" s="102">
        <f t="shared" si="10"/>
        <v>99.990556206476015</v>
      </c>
      <c r="AE9" s="97">
        <f t="shared" si="2"/>
        <v>1.5079999999986287</v>
      </c>
      <c r="AF9" s="77">
        <f t="shared" si="11"/>
        <v>16.96499999999957</v>
      </c>
      <c r="AG9" s="57">
        <f t="shared" si="12"/>
        <v>0.84824999999997852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46"/>
      <c r="F10" s="27">
        <v>60</v>
      </c>
      <c r="G10" s="62">
        <v>71.599999999999994</v>
      </c>
      <c r="H10" s="67">
        <v>39.799999999999997</v>
      </c>
      <c r="I10" s="63">
        <v>410.1</v>
      </c>
      <c r="J10" s="63"/>
      <c r="K10" s="28">
        <f t="shared" si="3"/>
        <v>0</v>
      </c>
      <c r="L10" s="28">
        <f t="shared" si="4"/>
        <v>0</v>
      </c>
      <c r="M10" s="29">
        <f t="shared" si="5"/>
        <v>0</v>
      </c>
      <c r="N10" s="25"/>
      <c r="O10" s="81">
        <v>8.35</v>
      </c>
      <c r="P10" s="67">
        <v>10.819999694824219</v>
      </c>
      <c r="Q10" s="63">
        <v>427.5</v>
      </c>
      <c r="R10" s="30">
        <f t="shared" si="6"/>
        <v>0</v>
      </c>
      <c r="S10" s="30">
        <f t="shared" si="13"/>
        <v>0</v>
      </c>
      <c r="T10" s="28" t="s">
        <v>49</v>
      </c>
      <c r="U10" s="151"/>
      <c r="V10" s="71">
        <f t="shared" si="7"/>
        <v>99.988337988826814</v>
      </c>
      <c r="W10" s="1"/>
      <c r="X10" s="139"/>
      <c r="Y10" s="100">
        <v>60</v>
      </c>
      <c r="Z10" s="110">
        <f t="shared" si="0"/>
        <v>72.166666666666657</v>
      </c>
      <c r="AA10" s="112">
        <f t="shared" si="1"/>
        <v>9.9723502304056755</v>
      </c>
      <c r="AB10" s="116">
        <f t="shared" si="8"/>
        <v>6.9066666666666663</v>
      </c>
      <c r="AC10" s="112" t="s">
        <v>49</v>
      </c>
      <c r="AD10" s="102">
        <f t="shared" si="10"/>
        <v>99.990430539286351</v>
      </c>
      <c r="AE10" s="97">
        <f t="shared" si="2"/>
        <v>0</v>
      </c>
      <c r="AF10" s="77">
        <f t="shared" si="11"/>
        <v>16.96499999999957</v>
      </c>
      <c r="AG10" s="57">
        <f t="shared" si="12"/>
        <v>0.84824999999997852</v>
      </c>
      <c r="AH10" s="4"/>
      <c r="AI10" s="4"/>
      <c r="AJ10" s="4"/>
    </row>
    <row r="11" spans="1:41" ht="20.100000000000001" customHeight="1" x14ac:dyDescent="0.25">
      <c r="A11" s="1"/>
      <c r="B11" s="20" t="s">
        <v>0</v>
      </c>
      <c r="C11" s="21">
        <v>21.64</v>
      </c>
      <c r="D11" s="6"/>
      <c r="E11" s="146"/>
      <c r="F11" s="27">
        <v>70</v>
      </c>
      <c r="G11" s="62">
        <v>71.8</v>
      </c>
      <c r="H11" s="67">
        <v>39.79</v>
      </c>
      <c r="I11" s="63">
        <v>410.05</v>
      </c>
      <c r="J11" s="63"/>
      <c r="K11" s="28">
        <f t="shared" si="3"/>
        <v>0.50000000000011369</v>
      </c>
      <c r="L11" s="28">
        <f t="shared" si="4"/>
        <v>10.820000000002461</v>
      </c>
      <c r="M11" s="29">
        <f t="shared" si="5"/>
        <v>14.958525345625523</v>
      </c>
      <c r="N11" s="25"/>
      <c r="O11" s="81">
        <v>8.59</v>
      </c>
      <c r="P11" s="67">
        <v>10.819999694824219</v>
      </c>
      <c r="Q11" s="63">
        <v>427.5</v>
      </c>
      <c r="R11" s="30">
        <f t="shared" si="6"/>
        <v>0</v>
      </c>
      <c r="S11" s="30">
        <f t="shared" si="13"/>
        <v>0</v>
      </c>
      <c r="T11" s="28" t="s">
        <v>49</v>
      </c>
      <c r="U11" s="151"/>
      <c r="V11" s="71">
        <f t="shared" si="7"/>
        <v>99.988036211699153</v>
      </c>
      <c r="W11" s="1"/>
      <c r="X11" s="139"/>
      <c r="Y11" s="100">
        <v>70</v>
      </c>
      <c r="Z11" s="110">
        <f t="shared" si="0"/>
        <v>72.366666666666674</v>
      </c>
      <c r="AA11" s="112">
        <f t="shared" si="1"/>
        <v>14.958525345625523</v>
      </c>
      <c r="AB11" s="116">
        <f t="shared" si="8"/>
        <v>7.0633333333333335</v>
      </c>
      <c r="AC11" s="112">
        <f t="shared" si="9"/>
        <v>6.2543778801786445</v>
      </c>
      <c r="AD11" s="102">
        <f t="shared" si="10"/>
        <v>99.990239068500713</v>
      </c>
      <c r="AE11" s="97">
        <f t="shared" si="2"/>
        <v>1.5079999999986287</v>
      </c>
      <c r="AF11" s="77">
        <f t="shared" si="11"/>
        <v>18.472999999998198</v>
      </c>
      <c r="AG11" s="57">
        <f t="shared" si="12"/>
        <v>0.92364999999990993</v>
      </c>
      <c r="AH11" s="4"/>
      <c r="AI11" s="4"/>
      <c r="AJ11" s="4"/>
    </row>
    <row r="12" spans="1:41" ht="20.100000000000001" customHeight="1" x14ac:dyDescent="0.25">
      <c r="A12" s="1"/>
      <c r="B12" s="20" t="s">
        <v>1</v>
      </c>
      <c r="C12" s="21">
        <v>22.62</v>
      </c>
      <c r="D12" s="6"/>
      <c r="E12" s="146"/>
      <c r="F12" s="27">
        <v>80</v>
      </c>
      <c r="G12" s="62">
        <v>72.099999999999994</v>
      </c>
      <c r="H12" s="67">
        <v>39.799999999999997</v>
      </c>
      <c r="I12" s="63">
        <v>410.05</v>
      </c>
      <c r="J12" s="63"/>
      <c r="K12" s="28">
        <f t="shared" si="3"/>
        <v>0</v>
      </c>
      <c r="L12" s="28">
        <f t="shared" si="4"/>
        <v>0</v>
      </c>
      <c r="M12" s="29">
        <f t="shared" si="5"/>
        <v>0</v>
      </c>
      <c r="N12" s="25"/>
      <c r="O12" s="81">
        <v>8.6199999999999992</v>
      </c>
      <c r="P12" s="67">
        <v>10.819999694824219</v>
      </c>
      <c r="Q12" s="63">
        <v>427.5</v>
      </c>
      <c r="R12" s="30">
        <f t="shared" si="6"/>
        <v>0</v>
      </c>
      <c r="S12" s="30">
        <f t="shared" si="13"/>
        <v>0</v>
      </c>
      <c r="T12" s="28" t="s">
        <v>49</v>
      </c>
      <c r="U12" s="151"/>
      <c r="V12" s="71">
        <f t="shared" si="7"/>
        <v>99.988044382801661</v>
      </c>
      <c r="W12" s="1"/>
      <c r="X12" s="139"/>
      <c r="Y12" s="100">
        <v>80</v>
      </c>
      <c r="Z12" s="110">
        <f t="shared" si="0"/>
        <v>72.566666666666677</v>
      </c>
      <c r="AA12" s="112">
        <f t="shared" si="1"/>
        <v>9.9723502304170157</v>
      </c>
      <c r="AB12" s="116">
        <f t="shared" si="8"/>
        <v>7.14</v>
      </c>
      <c r="AC12" s="112">
        <f t="shared" si="9"/>
        <v>6.2543778801875316</v>
      </c>
      <c r="AD12" s="102">
        <f t="shared" si="10"/>
        <v>99.990161646063498</v>
      </c>
      <c r="AE12" s="97">
        <f t="shared" si="2"/>
        <v>3.0160000000015432</v>
      </c>
      <c r="AF12" s="77">
        <f t="shared" si="11"/>
        <v>21.488999999999741</v>
      </c>
      <c r="AG12" s="57">
        <f t="shared" si="12"/>
        <v>1.074449999999987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46"/>
      <c r="F13" s="27">
        <v>90</v>
      </c>
      <c r="G13" s="62">
        <v>72.2</v>
      </c>
      <c r="H13" s="67">
        <v>39.840000000000003</v>
      </c>
      <c r="I13" s="63">
        <v>410</v>
      </c>
      <c r="J13" s="63"/>
      <c r="K13" s="28">
        <f t="shared" si="3"/>
        <v>0.50000000000011369</v>
      </c>
      <c r="L13" s="28">
        <f t="shared" si="4"/>
        <v>10.820000000002461</v>
      </c>
      <c r="M13" s="29">
        <f t="shared" si="5"/>
        <v>14.958525345625523</v>
      </c>
      <c r="N13" s="25"/>
      <c r="O13" s="81">
        <v>8.66</v>
      </c>
      <c r="P13" s="67">
        <v>10.770000457763672</v>
      </c>
      <c r="Q13" s="63">
        <v>427.5</v>
      </c>
      <c r="R13" s="30">
        <f t="shared" si="6"/>
        <v>0</v>
      </c>
      <c r="S13" s="30">
        <f t="shared" si="13"/>
        <v>0</v>
      </c>
      <c r="T13" s="28" t="s">
        <v>49</v>
      </c>
      <c r="U13" s="151"/>
      <c r="V13" s="71">
        <f t="shared" si="7"/>
        <v>99.988005540166199</v>
      </c>
      <c r="W13" s="1"/>
      <c r="X13" s="139"/>
      <c r="Y13" s="100">
        <v>90</v>
      </c>
      <c r="Z13" s="110">
        <f t="shared" si="0"/>
        <v>72.766666666666666</v>
      </c>
      <c r="AA13" s="112">
        <f t="shared" si="1"/>
        <v>14.958525345625523</v>
      </c>
      <c r="AB13" s="116">
        <f t="shared" si="8"/>
        <v>7.23</v>
      </c>
      <c r="AC13" s="112">
        <f t="shared" si="9"/>
        <v>10.945161290321515</v>
      </c>
      <c r="AD13" s="102">
        <f t="shared" si="10"/>
        <v>99.990065574913743</v>
      </c>
      <c r="AE13" s="97">
        <f t="shared" si="2"/>
        <v>5.2779999999994862</v>
      </c>
      <c r="AF13" s="77">
        <f t="shared" si="11"/>
        <v>26.766999999999229</v>
      </c>
      <c r="AG13" s="57">
        <f t="shared" si="12"/>
        <v>1.3383499999999615</v>
      </c>
      <c r="AH13" s="4"/>
      <c r="AI13" s="4"/>
      <c r="AJ13" s="4"/>
    </row>
    <row r="14" spans="1:41" ht="20.100000000000001" customHeight="1" x14ac:dyDescent="0.25">
      <c r="A14" s="1"/>
      <c r="B14" s="20" t="s">
        <v>3</v>
      </c>
      <c r="C14" s="21">
        <v>600</v>
      </c>
      <c r="D14" s="6"/>
      <c r="E14" s="146"/>
      <c r="F14" s="27">
        <v>100</v>
      </c>
      <c r="G14" s="62">
        <v>72.3</v>
      </c>
      <c r="H14" s="67">
        <v>39.85</v>
      </c>
      <c r="I14" s="63">
        <v>409.9</v>
      </c>
      <c r="J14" s="63"/>
      <c r="K14" s="28">
        <f t="shared" si="3"/>
        <v>1.0000000000002274</v>
      </c>
      <c r="L14" s="28">
        <f t="shared" si="4"/>
        <v>21.640000000004921</v>
      </c>
      <c r="M14" s="29">
        <f t="shared" si="5"/>
        <v>29.917050691251045</v>
      </c>
      <c r="N14" s="25"/>
      <c r="O14" s="81">
        <v>8.74</v>
      </c>
      <c r="P14" s="67">
        <v>10.760000228881836</v>
      </c>
      <c r="Q14" s="63">
        <v>427.6</v>
      </c>
      <c r="R14" s="30">
        <f t="shared" si="6"/>
        <v>1.0000000000002274</v>
      </c>
      <c r="S14" s="30">
        <f t="shared" si="13"/>
        <v>22.620000000005145</v>
      </c>
      <c r="T14" s="28">
        <f t="shared" ref="T5:T22" si="14">(S14/1000)/((1/6)*$C$5)</f>
        <v>31.271889400928774</v>
      </c>
      <c r="U14" s="151"/>
      <c r="V14" s="71">
        <f t="shared" si="7"/>
        <v>99.987911479944685</v>
      </c>
      <c r="W14" s="1"/>
      <c r="X14" s="139"/>
      <c r="Y14" s="100">
        <v>100</v>
      </c>
      <c r="Z14" s="110">
        <f t="shared" si="0"/>
        <v>72.933333333333337</v>
      </c>
      <c r="AA14" s="112">
        <f t="shared" si="1"/>
        <v>19.944700460834031</v>
      </c>
      <c r="AB14" s="116">
        <f t="shared" si="8"/>
        <v>7.29</v>
      </c>
      <c r="AC14" s="112">
        <f t="shared" si="9"/>
        <v>13.551152073738171</v>
      </c>
      <c r="AD14" s="102">
        <f t="shared" si="10"/>
        <v>99.990004889288045</v>
      </c>
      <c r="AE14" s="97">
        <f t="shared" si="2"/>
        <v>9.8020000000039449</v>
      </c>
      <c r="AF14" s="77">
        <f t="shared" si="11"/>
        <v>36.569000000003172</v>
      </c>
      <c r="AG14" s="57">
        <f t="shared" si="12"/>
        <v>1.8284500000001584</v>
      </c>
      <c r="AH14" s="4"/>
      <c r="AI14" s="4"/>
      <c r="AJ14" s="4"/>
    </row>
    <row r="15" spans="1:41" ht="20.100000000000001" customHeight="1" x14ac:dyDescent="0.25">
      <c r="A15" s="1"/>
      <c r="B15" s="20" t="s">
        <v>4</v>
      </c>
      <c r="C15" s="21">
        <v>600</v>
      </c>
      <c r="D15" s="6"/>
      <c r="E15" s="146"/>
      <c r="F15" s="27">
        <v>110</v>
      </c>
      <c r="G15" s="62">
        <v>72.599999999999994</v>
      </c>
      <c r="H15" s="67">
        <v>39.840000000000003</v>
      </c>
      <c r="I15" s="63">
        <v>409.9</v>
      </c>
      <c r="J15" s="63"/>
      <c r="K15" s="28">
        <f t="shared" si="3"/>
        <v>0</v>
      </c>
      <c r="L15" s="28">
        <f t="shared" si="4"/>
        <v>0</v>
      </c>
      <c r="M15" s="29">
        <f t="shared" si="5"/>
        <v>0</v>
      </c>
      <c r="N15" s="25"/>
      <c r="O15" s="81">
        <v>8.7799999999999994</v>
      </c>
      <c r="P15" s="67">
        <v>10.760000228881836</v>
      </c>
      <c r="Q15" s="63">
        <v>427.6</v>
      </c>
      <c r="R15" s="30">
        <f t="shared" si="6"/>
        <v>0</v>
      </c>
      <c r="S15" s="30">
        <f t="shared" si="13"/>
        <v>0</v>
      </c>
      <c r="T15" s="28" t="s">
        <v>49</v>
      </c>
      <c r="U15" s="151"/>
      <c r="V15" s="71">
        <f t="shared" si="7"/>
        <v>99.987906336088145</v>
      </c>
      <c r="W15" s="1"/>
      <c r="X15" s="139"/>
      <c r="Y15" s="100">
        <v>110</v>
      </c>
      <c r="Z15" s="110">
        <f t="shared" si="0"/>
        <v>73.233333333333334</v>
      </c>
      <c r="AA15" s="112">
        <f t="shared" si="1"/>
        <v>9.9723502304056755</v>
      </c>
      <c r="AB15" s="116">
        <f t="shared" si="8"/>
        <v>7.3166666666666664</v>
      </c>
      <c r="AC15" s="112">
        <f t="shared" si="9"/>
        <v>15.635944700455497</v>
      </c>
      <c r="AD15" s="102">
        <f t="shared" si="10"/>
        <v>99.990009497083236</v>
      </c>
      <c r="AE15" s="97">
        <f t="shared" si="2"/>
        <v>7.5399999999974296</v>
      </c>
      <c r="AF15" s="77">
        <f t="shared" si="11"/>
        <v>44.109000000000599</v>
      </c>
      <c r="AG15" s="57">
        <f t="shared" si="12"/>
        <v>2.2054500000000301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46"/>
      <c r="F16" s="27">
        <v>120</v>
      </c>
      <c r="G16" s="62">
        <v>72.7</v>
      </c>
      <c r="H16" s="67">
        <v>39.840000000000003</v>
      </c>
      <c r="I16" s="63">
        <v>409.85</v>
      </c>
      <c r="J16" s="63"/>
      <c r="K16" s="28">
        <f t="shared" si="3"/>
        <v>0.49999999999954525</v>
      </c>
      <c r="L16" s="28">
        <f t="shared" si="4"/>
        <v>10.819999999990159</v>
      </c>
      <c r="M16" s="29">
        <f t="shared" si="5"/>
        <v>14.958525345608514</v>
      </c>
      <c r="N16" s="25"/>
      <c r="O16" s="81">
        <v>8.83</v>
      </c>
      <c r="P16" s="67">
        <v>10.720000267028809</v>
      </c>
      <c r="Q16" s="63">
        <v>427.65</v>
      </c>
      <c r="R16" s="30">
        <f t="shared" si="6"/>
        <v>0.49999999999954525</v>
      </c>
      <c r="S16" s="30">
        <f t="shared" si="13"/>
        <v>11.309999999989714</v>
      </c>
      <c r="T16" s="28">
        <f t="shared" si="14"/>
        <v>15.635944700446609</v>
      </c>
      <c r="U16" s="151"/>
      <c r="V16" s="71">
        <f t="shared" si="7"/>
        <v>99.987854195323251</v>
      </c>
      <c r="W16" s="1"/>
      <c r="X16" s="139"/>
      <c r="Y16" s="100">
        <v>120</v>
      </c>
      <c r="Z16" s="110">
        <f t="shared" si="0"/>
        <v>73.399999999999991</v>
      </c>
      <c r="AA16" s="112">
        <f t="shared" si="1"/>
        <v>14.958525345619854</v>
      </c>
      <c r="AB16" s="116">
        <f t="shared" si="8"/>
        <v>7.4333333333333336</v>
      </c>
      <c r="AC16" s="112">
        <f t="shared" si="9"/>
        <v>11.466359447000107</v>
      </c>
      <c r="AD16" s="102">
        <f t="shared" si="10"/>
        <v>99.98987277775143</v>
      </c>
      <c r="AE16" s="97">
        <f t="shared" si="2"/>
        <v>8.2939999999967426</v>
      </c>
      <c r="AF16" s="77">
        <f t="shared" si="11"/>
        <v>52.402999999997341</v>
      </c>
      <c r="AG16" s="57">
        <f t="shared" si="12"/>
        <v>2.620149999999867</v>
      </c>
      <c r="AH16" s="4"/>
      <c r="AI16" s="4"/>
      <c r="AJ16" s="4"/>
    </row>
    <row r="17" spans="1:41" ht="20.100000000000001" customHeight="1" x14ac:dyDescent="0.25">
      <c r="A17" s="1"/>
      <c r="B17" s="20" t="s">
        <v>5</v>
      </c>
      <c r="C17" s="21">
        <v>130</v>
      </c>
      <c r="D17" s="6"/>
      <c r="E17" s="146"/>
      <c r="F17" s="27">
        <v>130</v>
      </c>
      <c r="G17" s="62">
        <v>72.900000000000006</v>
      </c>
      <c r="H17" s="67">
        <v>39.840000000000003</v>
      </c>
      <c r="I17" s="63">
        <v>409.85</v>
      </c>
      <c r="J17" s="63"/>
      <c r="K17" s="28">
        <f t="shared" si="3"/>
        <v>0</v>
      </c>
      <c r="L17" s="28">
        <f t="shared" si="4"/>
        <v>0</v>
      </c>
      <c r="M17" s="29">
        <f t="shared" si="5"/>
        <v>0</v>
      </c>
      <c r="N17" s="25"/>
      <c r="O17" s="81">
        <v>8.86</v>
      </c>
      <c r="P17" s="67">
        <v>10.680000305175781</v>
      </c>
      <c r="Q17" s="63">
        <v>427.7</v>
      </c>
      <c r="R17" s="30">
        <f t="shared" si="6"/>
        <v>0.50000000000011369</v>
      </c>
      <c r="S17" s="30">
        <f t="shared" si="13"/>
        <v>11.310000000002573</v>
      </c>
      <c r="T17" s="28">
        <f t="shared" si="14"/>
        <v>15.635944700464387</v>
      </c>
      <c r="U17" s="151"/>
      <c r="V17" s="71">
        <f t="shared" si="7"/>
        <v>99.98784636488341</v>
      </c>
      <c r="W17" s="1"/>
      <c r="X17" s="139"/>
      <c r="Y17" s="100">
        <v>130</v>
      </c>
      <c r="Z17" s="110">
        <f t="shared" si="0"/>
        <v>73.63333333333334</v>
      </c>
      <c r="AA17" s="112">
        <f t="shared" si="1"/>
        <v>9.9723502304170157</v>
      </c>
      <c r="AB17" s="116">
        <f t="shared" si="8"/>
        <v>7.5066666666666668</v>
      </c>
      <c r="AC17" s="112">
        <f t="shared" si="9"/>
        <v>12.508755760375065</v>
      </c>
      <c r="AD17" s="102">
        <f t="shared" si="10"/>
        <v>99.989806717421615</v>
      </c>
      <c r="AE17" s="97">
        <f t="shared" si="2"/>
        <v>9.0480000000046292</v>
      </c>
      <c r="AF17" s="77">
        <f t="shared" si="11"/>
        <v>61.451000000001969</v>
      </c>
      <c r="AG17" s="57">
        <f t="shared" si="12"/>
        <v>3.0725500000000983</v>
      </c>
      <c r="AH17" s="4"/>
      <c r="AI17" s="4"/>
      <c r="AJ17" s="4"/>
    </row>
    <row r="18" spans="1:41" ht="20.100000000000001" customHeight="1" x14ac:dyDescent="0.25">
      <c r="A18" s="1"/>
      <c r="B18" s="20" t="s">
        <v>6</v>
      </c>
      <c r="C18" s="21">
        <v>130</v>
      </c>
      <c r="D18" s="6"/>
      <c r="E18" s="146"/>
      <c r="F18" s="27">
        <v>140</v>
      </c>
      <c r="G18" s="62">
        <v>73.099999999999994</v>
      </c>
      <c r="H18" s="67">
        <v>39.840000000000003</v>
      </c>
      <c r="I18" s="63">
        <v>409.75</v>
      </c>
      <c r="J18" s="63"/>
      <c r="K18" s="28">
        <f t="shared" si="3"/>
        <v>1.0000000000002274</v>
      </c>
      <c r="L18" s="28">
        <f t="shared" si="4"/>
        <v>21.640000000004921</v>
      </c>
      <c r="M18" s="29">
        <f t="shared" si="5"/>
        <v>29.917050691251045</v>
      </c>
      <c r="N18" s="25"/>
      <c r="O18" s="81">
        <v>8.9</v>
      </c>
      <c r="P18" s="67">
        <v>10.659999847412109</v>
      </c>
      <c r="Q18" s="63">
        <v>427.7</v>
      </c>
      <c r="R18" s="30">
        <f t="shared" si="6"/>
        <v>0</v>
      </c>
      <c r="S18" s="30">
        <f t="shared" si="13"/>
        <v>0</v>
      </c>
      <c r="T18" s="28" t="s">
        <v>49</v>
      </c>
      <c r="U18" s="151"/>
      <c r="V18" s="71">
        <f t="shared" si="7"/>
        <v>99.987824897400827</v>
      </c>
      <c r="W18" s="1"/>
      <c r="X18" s="139"/>
      <c r="Y18" s="100">
        <v>140</v>
      </c>
      <c r="Z18" s="110">
        <f t="shared" si="0"/>
        <v>73.8</v>
      </c>
      <c r="AA18" s="112">
        <f t="shared" si="1"/>
        <v>13.961290322579286</v>
      </c>
      <c r="AB18" s="116">
        <f t="shared" si="8"/>
        <v>7.6033333333333344</v>
      </c>
      <c r="AC18" s="112">
        <f t="shared" si="9"/>
        <v>7.8179723502233047</v>
      </c>
      <c r="AD18" s="102">
        <f t="shared" si="10"/>
        <v>99.989699649835885</v>
      </c>
      <c r="AE18" s="97">
        <f t="shared" si="2"/>
        <v>3.7699999999965712</v>
      </c>
      <c r="AF18" s="77">
        <f t="shared" si="11"/>
        <v>65.22099999999854</v>
      </c>
      <c r="AG18" s="57">
        <f t="shared" si="12"/>
        <v>3.2610499999999272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46"/>
      <c r="F19" s="27">
        <v>150</v>
      </c>
      <c r="G19" s="62">
        <v>73.3</v>
      </c>
      <c r="H19" s="67">
        <v>39.909999999999997</v>
      </c>
      <c r="I19" s="63">
        <v>409.75</v>
      </c>
      <c r="J19" s="63"/>
      <c r="K19" s="28">
        <f t="shared" si="3"/>
        <v>0</v>
      </c>
      <c r="L19" s="28">
        <f t="shared" si="4"/>
        <v>0</v>
      </c>
      <c r="M19" s="29">
        <f t="shared" si="5"/>
        <v>0</v>
      </c>
      <c r="N19" s="25"/>
      <c r="O19" s="81">
        <v>8.99</v>
      </c>
      <c r="P19" s="67">
        <v>10.659999847412109</v>
      </c>
      <c r="Q19" s="63">
        <v>427.7</v>
      </c>
      <c r="R19" s="30">
        <f t="shared" si="6"/>
        <v>0</v>
      </c>
      <c r="S19" s="30">
        <f t="shared" si="13"/>
        <v>0</v>
      </c>
      <c r="T19" s="28" t="s">
        <v>49</v>
      </c>
      <c r="U19" s="151"/>
      <c r="V19" s="71">
        <f t="shared" si="7"/>
        <v>99.987735334242828</v>
      </c>
      <c r="W19" s="1"/>
      <c r="X19" s="139"/>
      <c r="Y19" s="100">
        <v>150</v>
      </c>
      <c r="Z19" s="110">
        <f t="shared" si="0"/>
        <v>74.066666666666663</v>
      </c>
      <c r="AA19" s="112">
        <f t="shared" si="1"/>
        <v>3.9889400921736087</v>
      </c>
      <c r="AB19" s="116">
        <f t="shared" si="8"/>
        <v>7.706666666666667</v>
      </c>
      <c r="AC19" s="112">
        <f t="shared" si="9"/>
        <v>6.2543778801875316</v>
      </c>
      <c r="AD19" s="102">
        <f t="shared" si="10"/>
        <v>99.989595556441031</v>
      </c>
      <c r="AE19" s="97">
        <f t="shared" si="2"/>
        <v>3.0160000000015432</v>
      </c>
      <c r="AF19" s="77">
        <f t="shared" si="11"/>
        <v>68.23700000000008</v>
      </c>
      <c r="AG19" s="57">
        <f t="shared" si="12"/>
        <v>3.4118500000000038</v>
      </c>
      <c r="AH19" s="4"/>
      <c r="AI19" s="4"/>
      <c r="AJ19" s="4"/>
    </row>
    <row r="20" spans="1:41" ht="20.100000000000001" customHeight="1" x14ac:dyDescent="0.2">
      <c r="A20" s="1"/>
      <c r="B20" s="144" t="s">
        <v>19</v>
      </c>
      <c r="C20" s="59" t="s">
        <v>18</v>
      </c>
      <c r="D20" s="1"/>
      <c r="E20" s="146"/>
      <c r="F20" s="27">
        <v>160</v>
      </c>
      <c r="G20" s="62">
        <v>73.5</v>
      </c>
      <c r="H20" s="67">
        <v>39.97</v>
      </c>
      <c r="I20" s="63">
        <v>409.7</v>
      </c>
      <c r="J20" s="63"/>
      <c r="K20" s="28">
        <f t="shared" si="3"/>
        <v>0.50000000000011369</v>
      </c>
      <c r="L20" s="28">
        <f t="shared" si="4"/>
        <v>10.820000000002461</v>
      </c>
      <c r="M20" s="29">
        <f t="shared" si="5"/>
        <v>14.958525345625523</v>
      </c>
      <c r="N20" s="25"/>
      <c r="O20" s="81">
        <v>9.09</v>
      </c>
      <c r="P20" s="67">
        <v>10.600000381469727</v>
      </c>
      <c r="Q20" s="63">
        <v>427.7</v>
      </c>
      <c r="R20" s="30">
        <f t="shared" si="6"/>
        <v>0</v>
      </c>
      <c r="S20" s="30">
        <f t="shared" si="13"/>
        <v>0</v>
      </c>
      <c r="T20" s="28" t="s">
        <v>49</v>
      </c>
      <c r="U20" s="151"/>
      <c r="V20" s="71">
        <f t="shared" si="7"/>
        <v>99.987632653061226</v>
      </c>
      <c r="W20" s="1"/>
      <c r="X20" s="139"/>
      <c r="Y20" s="100">
        <v>160</v>
      </c>
      <c r="Z20" s="110">
        <f t="shared" si="0"/>
        <v>74.3</v>
      </c>
      <c r="AA20" s="112">
        <f t="shared" si="1"/>
        <v>4.9861751152085079</v>
      </c>
      <c r="AB20" s="116">
        <f t="shared" si="8"/>
        <v>7.7833333333333323</v>
      </c>
      <c r="AC20" s="112">
        <f t="shared" si="9"/>
        <v>9.381566820267965</v>
      </c>
      <c r="AD20" s="102">
        <f t="shared" si="10"/>
        <v>99.989525442889047</v>
      </c>
      <c r="AE20" s="97">
        <f t="shared" si="2"/>
        <v>2.261999999997943</v>
      </c>
      <c r="AF20" s="77">
        <f t="shared" si="11"/>
        <v>70.49899999999802</v>
      </c>
      <c r="AG20" s="57">
        <f t="shared" si="12"/>
        <v>3.524949999999901</v>
      </c>
      <c r="AH20" s="4"/>
      <c r="AI20" s="4"/>
      <c r="AJ20" s="4"/>
    </row>
    <row r="21" spans="1:41" ht="20.100000000000001" customHeight="1" x14ac:dyDescent="0.2">
      <c r="A21" s="1"/>
      <c r="B21" s="144"/>
      <c r="C21" s="59">
        <v>50</v>
      </c>
      <c r="D21" s="1"/>
      <c r="E21" s="146"/>
      <c r="F21" s="27">
        <v>170</v>
      </c>
      <c r="G21" s="62">
        <v>73.7</v>
      </c>
      <c r="H21" s="67">
        <v>39.909999999999997</v>
      </c>
      <c r="I21" s="63">
        <v>409.65</v>
      </c>
      <c r="J21" s="63"/>
      <c r="K21" s="28">
        <f t="shared" si="3"/>
        <v>0.50000000000011369</v>
      </c>
      <c r="L21" s="28">
        <f t="shared" si="4"/>
        <v>10.820000000002461</v>
      </c>
      <c r="M21" s="29">
        <f t="shared" si="5"/>
        <v>14.958525345625523</v>
      </c>
      <c r="N21" s="25"/>
      <c r="O21" s="81">
        <v>9.11</v>
      </c>
      <c r="P21" s="67">
        <v>10.600000381469727</v>
      </c>
      <c r="Q21" s="63">
        <v>427.75</v>
      </c>
      <c r="R21" s="30">
        <f t="shared" si="6"/>
        <v>0.50000000000011369</v>
      </c>
      <c r="S21" s="30">
        <f t="shared" si="13"/>
        <v>11.310000000002573</v>
      </c>
      <c r="T21" s="28">
        <f t="shared" si="14"/>
        <v>15.635944700464387</v>
      </c>
      <c r="U21" s="152"/>
      <c r="V21" s="71">
        <f t="shared" si="7"/>
        <v>99.987639077340575</v>
      </c>
      <c r="W21" s="1"/>
      <c r="X21" s="139"/>
      <c r="Y21" s="100">
        <v>170</v>
      </c>
      <c r="Z21" s="110">
        <f t="shared" si="0"/>
        <v>74.533333333333346</v>
      </c>
      <c r="AA21" s="112">
        <f t="shared" si="1"/>
        <v>12.964055299533051</v>
      </c>
      <c r="AB21" s="116">
        <f t="shared" si="8"/>
        <v>7.876666666666666</v>
      </c>
      <c r="AC21" s="112">
        <f t="shared" si="9"/>
        <v>16.678341013827495</v>
      </c>
      <c r="AD21" s="102">
        <f t="shared" si="10"/>
        <v>99.989431978189643</v>
      </c>
      <c r="AE21" s="97">
        <f t="shared" si="2"/>
        <v>12.064000000001888</v>
      </c>
      <c r="AF21" s="77">
        <f t="shared" si="11"/>
        <v>82.562999999999903</v>
      </c>
      <c r="AG21" s="57">
        <f t="shared" si="12"/>
        <v>4.1281499999999953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47"/>
      <c r="F22" s="31">
        <v>180</v>
      </c>
      <c r="G22" s="64">
        <v>73.7</v>
      </c>
      <c r="H22" s="68">
        <v>39.950000000000003</v>
      </c>
      <c r="I22" s="65">
        <v>409.6</v>
      </c>
      <c r="J22" s="65"/>
      <c r="K22" s="32">
        <f t="shared" si="3"/>
        <v>0.49999999999954525</v>
      </c>
      <c r="L22" s="32">
        <f t="shared" si="4"/>
        <v>10.819999999990159</v>
      </c>
      <c r="M22" s="33">
        <f t="shared" si="5"/>
        <v>14.958525345608514</v>
      </c>
      <c r="N22" s="25"/>
      <c r="O22" s="82">
        <v>9.23</v>
      </c>
      <c r="P22" s="68">
        <v>10.539999961853027</v>
      </c>
      <c r="Q22" s="65">
        <v>427.8</v>
      </c>
      <c r="R22" s="34">
        <f t="shared" si="6"/>
        <v>0.50000000000011369</v>
      </c>
      <c r="S22" s="34">
        <f t="shared" si="13"/>
        <v>11.310000000002573</v>
      </c>
      <c r="T22" s="32">
        <f t="shared" si="14"/>
        <v>15.635944700464387</v>
      </c>
      <c r="U22" s="84">
        <v>47.8</v>
      </c>
      <c r="V22" s="71">
        <f t="shared" si="7"/>
        <v>99.987476255088197</v>
      </c>
      <c r="W22" s="1"/>
      <c r="X22" s="139"/>
      <c r="Y22" s="117">
        <v>180</v>
      </c>
      <c r="Z22" s="120">
        <f t="shared" si="0"/>
        <v>74.766666666666666</v>
      </c>
      <c r="AA22" s="113">
        <f t="shared" si="1"/>
        <v>18.947465437782125</v>
      </c>
      <c r="AB22" s="116">
        <f t="shared" si="8"/>
        <v>8.0033333333333321</v>
      </c>
      <c r="AC22" s="114">
        <f t="shared" si="9"/>
        <v>10.423963133642925</v>
      </c>
      <c r="AD22" s="115">
        <f t="shared" si="10"/>
        <v>99.989291799691316</v>
      </c>
      <c r="AE22" s="98">
        <f t="shared" si="2"/>
        <v>7.5400000000017151</v>
      </c>
      <c r="AF22" s="69">
        <f t="shared" si="11"/>
        <v>90.103000000001614</v>
      </c>
      <c r="AG22" s="58">
        <f t="shared" si="12"/>
        <v>4.5051500000000804</v>
      </c>
      <c r="AH22" s="4"/>
      <c r="AI22" s="4"/>
      <c r="AJ22" s="4"/>
    </row>
    <row r="23" spans="1:41" ht="20.100000000000001" customHeight="1" thickTop="1" thickBot="1" x14ac:dyDescent="0.3">
      <c r="A23" s="1"/>
      <c r="B23" s="76" t="s">
        <v>38</v>
      </c>
      <c r="C23" s="59">
        <v>2000</v>
      </c>
      <c r="D23" s="2"/>
      <c r="E23" s="35"/>
      <c r="F23" s="25"/>
      <c r="G23" s="25"/>
      <c r="H23" s="25"/>
      <c r="I23" s="25"/>
      <c r="J23" s="25"/>
      <c r="K23" s="25"/>
      <c r="L23" s="36" t="s">
        <v>17</v>
      </c>
      <c r="M23" s="37">
        <f>AVERAGE(M5:M22)</f>
        <v>16.62058371735791</v>
      </c>
      <c r="N23" s="25"/>
      <c r="O23" s="25"/>
      <c r="P23" s="25"/>
      <c r="Q23" s="25"/>
      <c r="R23" s="25"/>
      <c r="S23" s="37" t="s">
        <v>17</v>
      </c>
      <c r="T23" s="37">
        <f>AVERAGE(T5:T22)</f>
        <v>18.763133640553711</v>
      </c>
      <c r="U23" s="87"/>
      <c r="V23" s="133">
        <f>AVERAGE(V5:V22)</f>
        <v>99.988236697471322</v>
      </c>
      <c r="W23" s="1"/>
      <c r="X23" s="136" t="s">
        <v>41</v>
      </c>
      <c r="Y23" s="136"/>
      <c r="Z23" s="118"/>
      <c r="AA23" s="119">
        <f>AVERAGE(AA5:AA22)</f>
        <v>13.296466973886204</v>
      </c>
      <c r="AB23" s="118"/>
      <c r="AC23" s="119">
        <f>AVERAGE(AC5:AC22)</f>
        <v>11.857258064515342</v>
      </c>
      <c r="AD23" s="119">
        <f>AVERAGE(AD5:AD22)</f>
        <v>99.990170983397789</v>
      </c>
      <c r="AE23" s="118"/>
      <c r="AF23" s="118"/>
      <c r="AG23" s="118"/>
      <c r="AH23" s="105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5"/>
      <c r="F24" s="25"/>
      <c r="G24" s="25"/>
      <c r="H24" s="25"/>
      <c r="I24" s="25"/>
      <c r="J24" s="25"/>
      <c r="K24" s="25"/>
      <c r="L24" s="36" t="s">
        <v>16</v>
      </c>
      <c r="M24" s="37">
        <f>((I4-I22)*$C$11/100)/(180/60)/$C$5</f>
        <v>16.620583717357913</v>
      </c>
      <c r="N24" s="25"/>
      <c r="O24" s="25"/>
      <c r="P24" s="25"/>
      <c r="Q24" s="25"/>
      <c r="R24" s="25"/>
      <c r="S24" s="39" t="s">
        <v>16</v>
      </c>
      <c r="T24" s="39">
        <f>-((Q4-Q22)*$C$12/100)/(180/60)/$C$5</f>
        <v>5.2119815668204739</v>
      </c>
      <c r="U24" s="25"/>
      <c r="V24" s="72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40"/>
      <c r="G25" s="40"/>
      <c r="H25" s="40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  <c r="T25" s="42"/>
      <c r="U25" s="42"/>
      <c r="V25" s="6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48" t="s">
        <v>13</v>
      </c>
      <c r="F26" s="43"/>
      <c r="G26" s="156" t="s">
        <v>10</v>
      </c>
      <c r="H26" s="157"/>
      <c r="I26" s="157"/>
      <c r="J26" s="157"/>
      <c r="K26" s="157"/>
      <c r="L26" s="157"/>
      <c r="M26" s="158"/>
      <c r="N26" s="35"/>
      <c r="O26" s="156" t="s">
        <v>11</v>
      </c>
      <c r="P26" s="157"/>
      <c r="Q26" s="157"/>
      <c r="R26" s="157"/>
      <c r="S26" s="157"/>
      <c r="T26" s="157"/>
      <c r="U26" s="157"/>
      <c r="V26" s="158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39"/>
      <c r="F27" s="39" t="s">
        <v>7</v>
      </c>
      <c r="G27" s="44" t="s">
        <v>8</v>
      </c>
      <c r="H27" s="45" t="s">
        <v>22</v>
      </c>
      <c r="I27" s="46" t="s">
        <v>9</v>
      </c>
      <c r="J27" s="46"/>
      <c r="K27" s="46" t="s">
        <v>23</v>
      </c>
      <c r="L27" s="46" t="s">
        <v>24</v>
      </c>
      <c r="M27" s="39" t="s">
        <v>25</v>
      </c>
      <c r="N27" s="47"/>
      <c r="O27" s="132" t="s">
        <v>26</v>
      </c>
      <c r="P27" s="48" t="s">
        <v>27</v>
      </c>
      <c r="Q27" s="48" t="s">
        <v>37</v>
      </c>
      <c r="R27" s="48" t="s">
        <v>28</v>
      </c>
      <c r="S27" s="49" t="s">
        <v>29</v>
      </c>
      <c r="T27" s="36" t="s">
        <v>30</v>
      </c>
      <c r="U27" s="18" t="s">
        <v>20</v>
      </c>
      <c r="V27" s="50" t="s">
        <v>21</v>
      </c>
      <c r="W27" s="1"/>
      <c r="X27" s="122" t="s">
        <v>44</v>
      </c>
      <c r="Y27" s="122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39"/>
      <c r="F28" s="22">
        <v>0</v>
      </c>
      <c r="G28" s="60">
        <v>69.8</v>
      </c>
      <c r="H28" s="66">
        <v>38.47</v>
      </c>
      <c r="I28" s="61">
        <v>407.55</v>
      </c>
      <c r="J28" s="61"/>
      <c r="K28" s="23"/>
      <c r="L28" s="23"/>
      <c r="M28" s="24"/>
      <c r="N28" s="25"/>
      <c r="O28" s="125">
        <v>5.0199999999999996</v>
      </c>
      <c r="P28" s="61">
        <v>9.34</v>
      </c>
      <c r="Q28" s="61">
        <v>427.3</v>
      </c>
      <c r="R28" s="26"/>
      <c r="S28" s="26"/>
      <c r="T28" s="23"/>
      <c r="U28" s="83">
        <v>45.3</v>
      </c>
      <c r="V28" s="70"/>
      <c r="W28" s="1"/>
      <c r="X28" s="123">
        <f>AVERAGE(U4,U28,U52)</f>
        <v>45.866666666666667</v>
      </c>
      <c r="Y28" s="123">
        <f>AVERAGE(U22,U46,U70)</f>
        <v>48.6</v>
      </c>
      <c r="Z28" s="124">
        <f>AVERAGE(M24,M48,M72)</f>
        <v>15.678750640040874</v>
      </c>
      <c r="AA28" s="124">
        <f>AVERAGE(T24,T48,T72)</f>
        <v>6.7755760368664513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39"/>
      <c r="F29" s="27">
        <v>10</v>
      </c>
      <c r="G29" s="62">
        <v>70.099999999999994</v>
      </c>
      <c r="H29" s="67">
        <v>39.82</v>
      </c>
      <c r="I29" s="63">
        <v>407.5</v>
      </c>
      <c r="J29" s="63"/>
      <c r="K29" s="28">
        <f t="shared" ref="K29:K46" si="15">(I28-I29)*10</f>
        <v>0.50000000000011369</v>
      </c>
      <c r="L29" s="28">
        <f>K29*$C$11</f>
        <v>10.820000000002461</v>
      </c>
      <c r="M29" s="29">
        <f>(L29/1000)/((1/6)*$C$5)</f>
        <v>14.958525345625523</v>
      </c>
      <c r="N29" s="25"/>
      <c r="O29" s="126">
        <v>5.09</v>
      </c>
      <c r="P29" s="63">
        <v>9.51</v>
      </c>
      <c r="Q29" s="61">
        <v>427.3</v>
      </c>
      <c r="R29" s="30">
        <f>-(Q28-Q29)*10</f>
        <v>0</v>
      </c>
      <c r="S29" s="30">
        <f t="shared" ref="S29:S46" si="16">R29*$C$12</f>
        <v>0</v>
      </c>
      <c r="T29" s="28" t="s">
        <v>49</v>
      </c>
      <c r="U29" s="150"/>
      <c r="V29" s="71">
        <f>(1-((O29/1000)/G29))*100</f>
        <v>99.992738944365186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39"/>
      <c r="F30" s="27">
        <v>20</v>
      </c>
      <c r="G30" s="62">
        <v>70.400000000000006</v>
      </c>
      <c r="H30" s="67">
        <v>40.33</v>
      </c>
      <c r="I30" s="63">
        <v>407.45</v>
      </c>
      <c r="J30" s="63"/>
      <c r="K30" s="28">
        <f t="shared" si="15"/>
        <v>0.50000000000011369</v>
      </c>
      <c r="L30" s="28">
        <f t="shared" ref="L30:L46" si="17">K30*$C$11</f>
        <v>10.820000000002461</v>
      </c>
      <c r="M30" s="29">
        <f t="shared" ref="M30:M46" si="18">(L30/1000)/((1/6)*$C$5)</f>
        <v>14.958525345625523</v>
      </c>
      <c r="N30" s="25"/>
      <c r="O30" s="126">
        <v>5.14</v>
      </c>
      <c r="P30" s="63">
        <v>9.5</v>
      </c>
      <c r="Q30" s="61">
        <v>427.35</v>
      </c>
      <c r="R30" s="30">
        <f t="shared" ref="R30:R46" si="19">-(Q29-Q30)*10</f>
        <v>0.50000000000011369</v>
      </c>
      <c r="S30" s="30">
        <f t="shared" si="16"/>
        <v>11.310000000002573</v>
      </c>
      <c r="T30" s="28">
        <f t="shared" ref="T29:T46" si="20">(S30/1000)/((1/6)*$C$5)</f>
        <v>15.635944700464387</v>
      </c>
      <c r="U30" s="151"/>
      <c r="V30" s="71">
        <f t="shared" ref="V30:V46" si="21">(1-((O30/1000)/G30))*100</f>
        <v>99.992698863636363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39"/>
      <c r="F31" s="27">
        <v>30</v>
      </c>
      <c r="G31" s="62">
        <v>70.599999999999994</v>
      </c>
      <c r="H31" s="67">
        <v>40.56</v>
      </c>
      <c r="I31" s="63">
        <v>407.45</v>
      </c>
      <c r="J31" s="63"/>
      <c r="K31" s="28">
        <f t="shared" si="15"/>
        <v>0</v>
      </c>
      <c r="L31" s="28">
        <f t="shared" si="17"/>
        <v>0</v>
      </c>
      <c r="M31" s="29">
        <f t="shared" si="18"/>
        <v>0</v>
      </c>
      <c r="N31" s="25"/>
      <c r="O31" s="126">
        <v>5.16</v>
      </c>
      <c r="P31" s="63">
        <v>9.57</v>
      </c>
      <c r="Q31" s="63">
        <v>427.45</v>
      </c>
      <c r="R31" s="30">
        <f t="shared" si="19"/>
        <v>0.99999999999965894</v>
      </c>
      <c r="S31" s="30">
        <f t="shared" si="16"/>
        <v>22.619999999992285</v>
      </c>
      <c r="T31" s="28">
        <f t="shared" si="20"/>
        <v>31.271889400910993</v>
      </c>
      <c r="U31" s="151"/>
      <c r="V31" s="71">
        <f t="shared" si="21"/>
        <v>99.992691218130318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39"/>
      <c r="F32" s="27">
        <v>40</v>
      </c>
      <c r="G32" s="62">
        <v>70.8</v>
      </c>
      <c r="H32" s="67">
        <v>40.61</v>
      </c>
      <c r="I32" s="63">
        <v>407.4</v>
      </c>
      <c r="J32" s="63"/>
      <c r="K32" s="28">
        <f t="shared" si="15"/>
        <v>0.50000000000011369</v>
      </c>
      <c r="L32" s="28">
        <f t="shared" si="17"/>
        <v>10.820000000002461</v>
      </c>
      <c r="M32" s="29">
        <f t="shared" si="18"/>
        <v>14.958525345625523</v>
      </c>
      <c r="N32" s="25"/>
      <c r="O32" s="126">
        <v>5.24</v>
      </c>
      <c r="P32" s="63">
        <v>9.6199999999999992</v>
      </c>
      <c r="Q32" s="63">
        <v>427.48</v>
      </c>
      <c r="R32" s="30">
        <f t="shared" si="19"/>
        <v>0.30000000000029559</v>
      </c>
      <c r="S32" s="30">
        <f t="shared" si="16"/>
        <v>6.7860000000066867</v>
      </c>
      <c r="T32" s="28">
        <f t="shared" si="20"/>
        <v>9.3815668202857427</v>
      </c>
      <c r="U32" s="151"/>
      <c r="V32" s="71">
        <f t="shared" si="21"/>
        <v>99.992598870056497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">
      <c r="A33" s="1"/>
      <c r="B33" s="1"/>
      <c r="C33" s="1"/>
      <c r="D33" s="1"/>
      <c r="E33" s="139"/>
      <c r="F33" s="27">
        <v>50</v>
      </c>
      <c r="G33" s="62">
        <v>71</v>
      </c>
      <c r="H33" s="67">
        <v>40.68</v>
      </c>
      <c r="I33" s="63">
        <v>407.4</v>
      </c>
      <c r="J33" s="63"/>
      <c r="K33" s="28">
        <f t="shared" si="15"/>
        <v>0</v>
      </c>
      <c r="L33" s="28">
        <f t="shared" si="17"/>
        <v>0</v>
      </c>
      <c r="M33" s="29">
        <f t="shared" si="18"/>
        <v>0</v>
      </c>
      <c r="N33" s="25"/>
      <c r="O33" s="126">
        <v>5.36</v>
      </c>
      <c r="P33" s="63">
        <v>9.66</v>
      </c>
      <c r="Q33" s="63">
        <v>427.5</v>
      </c>
      <c r="R33" s="30">
        <f t="shared" si="19"/>
        <v>0.1999999999998181</v>
      </c>
      <c r="S33" s="30">
        <f t="shared" si="16"/>
        <v>4.523999999995886</v>
      </c>
      <c r="T33" s="28">
        <f t="shared" si="20"/>
        <v>6.2543778801786445</v>
      </c>
      <c r="U33" s="151"/>
      <c r="V33" s="71">
        <f t="shared" si="21"/>
        <v>99.992450704225348</v>
      </c>
      <c r="W33" s="1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">
      <c r="A34" s="1"/>
      <c r="B34" s="1"/>
      <c r="C34" s="1"/>
      <c r="D34" s="1"/>
      <c r="E34" s="139"/>
      <c r="F34" s="27">
        <v>60</v>
      </c>
      <c r="G34" s="62">
        <v>71.3</v>
      </c>
      <c r="H34" s="67">
        <v>40.72</v>
      </c>
      <c r="I34" s="63">
        <v>407.35</v>
      </c>
      <c r="J34" s="63"/>
      <c r="K34" s="28">
        <f t="shared" si="15"/>
        <v>0.49999999999954525</v>
      </c>
      <c r="L34" s="28">
        <f t="shared" si="17"/>
        <v>10.819999999990159</v>
      </c>
      <c r="M34" s="29">
        <f t="shared" si="18"/>
        <v>14.958525345608514</v>
      </c>
      <c r="N34" s="25"/>
      <c r="O34" s="126">
        <v>5.46</v>
      </c>
      <c r="P34" s="63">
        <v>9.68</v>
      </c>
      <c r="Q34" s="63">
        <v>427.5</v>
      </c>
      <c r="R34" s="30">
        <f t="shared" si="19"/>
        <v>0</v>
      </c>
      <c r="S34" s="30">
        <f t="shared" si="16"/>
        <v>0</v>
      </c>
      <c r="T34" s="28" t="s">
        <v>49</v>
      </c>
      <c r="U34" s="151"/>
      <c r="V34" s="71">
        <f t="shared" si="21"/>
        <v>99.992342215988785</v>
      </c>
      <c r="W34" s="1"/>
      <c r="AH34" s="105"/>
      <c r="AI34" s="105"/>
      <c r="AJ34" s="4"/>
      <c r="AK34" s="4"/>
      <c r="AL34" s="4"/>
      <c r="AM34" s="4"/>
      <c r="AN34" s="4"/>
      <c r="AO34" s="4"/>
    </row>
    <row r="35" spans="1:41" ht="15.75" x14ac:dyDescent="0.2">
      <c r="A35" s="1"/>
      <c r="B35" s="1"/>
      <c r="C35" s="1"/>
      <c r="D35" s="1"/>
      <c r="E35" s="139"/>
      <c r="F35" s="27">
        <v>70</v>
      </c>
      <c r="G35" s="62">
        <v>71.5</v>
      </c>
      <c r="H35" s="67">
        <v>40.74</v>
      </c>
      <c r="I35" s="63">
        <v>407.3</v>
      </c>
      <c r="J35" s="63"/>
      <c r="K35" s="28">
        <f t="shared" si="15"/>
        <v>0.50000000000011369</v>
      </c>
      <c r="L35" s="28">
        <f t="shared" si="17"/>
        <v>10.820000000002461</v>
      </c>
      <c r="M35" s="29">
        <f t="shared" si="18"/>
        <v>14.958525345625523</v>
      </c>
      <c r="N35" s="25"/>
      <c r="O35" s="126">
        <v>5.64</v>
      </c>
      <c r="P35" s="63">
        <v>9.68</v>
      </c>
      <c r="Q35" s="63">
        <v>427.52</v>
      </c>
      <c r="R35" s="30">
        <f t="shared" si="19"/>
        <v>0.1999999999998181</v>
      </c>
      <c r="S35" s="30">
        <f t="shared" si="16"/>
        <v>4.523999999995886</v>
      </c>
      <c r="T35" s="28">
        <f t="shared" si="20"/>
        <v>6.2543778801786445</v>
      </c>
      <c r="U35" s="151"/>
      <c r="V35" s="71">
        <f t="shared" si="21"/>
        <v>99.992111888111893</v>
      </c>
      <c r="W35" s="1"/>
      <c r="AH35" s="105"/>
      <c r="AI35" s="105"/>
      <c r="AJ35" s="4"/>
      <c r="AK35" s="4"/>
      <c r="AL35" s="4"/>
      <c r="AM35" s="4"/>
      <c r="AN35" s="4"/>
      <c r="AO35" s="4"/>
    </row>
    <row r="36" spans="1:41" ht="15.75" x14ac:dyDescent="0.2">
      <c r="A36" s="1"/>
      <c r="B36" s="1"/>
      <c r="C36" s="1"/>
      <c r="D36" s="1"/>
      <c r="E36" s="139"/>
      <c r="F36" s="27">
        <v>80</v>
      </c>
      <c r="G36" s="62">
        <v>71.7</v>
      </c>
      <c r="H36" s="67">
        <v>40.729999999999997</v>
      </c>
      <c r="I36" s="63">
        <v>407.25</v>
      </c>
      <c r="J36" s="63"/>
      <c r="K36" s="28">
        <f t="shared" si="15"/>
        <v>0.50000000000011369</v>
      </c>
      <c r="L36" s="28">
        <f t="shared" si="17"/>
        <v>10.820000000002461</v>
      </c>
      <c r="M36" s="29">
        <f t="shared" si="18"/>
        <v>14.958525345625523</v>
      </c>
      <c r="N36" s="25"/>
      <c r="O36" s="126">
        <v>5.75</v>
      </c>
      <c r="P36" s="63">
        <v>9.74</v>
      </c>
      <c r="Q36" s="63">
        <v>427.54</v>
      </c>
      <c r="R36" s="30">
        <f t="shared" si="19"/>
        <v>0.20000000000038654</v>
      </c>
      <c r="S36" s="30">
        <f t="shared" si="16"/>
        <v>4.5240000000087432</v>
      </c>
      <c r="T36" s="28">
        <f t="shared" si="20"/>
        <v>6.2543778801964196</v>
      </c>
      <c r="U36" s="151"/>
      <c r="V36" s="71">
        <f t="shared" si="21"/>
        <v>99.991980474198044</v>
      </c>
      <c r="W36" s="1"/>
      <c r="AH36" s="105"/>
      <c r="AI36" s="105"/>
      <c r="AJ36" s="4"/>
      <c r="AK36" s="4"/>
      <c r="AL36" s="4"/>
      <c r="AM36" s="4"/>
      <c r="AN36" s="4"/>
      <c r="AO36" s="4"/>
    </row>
    <row r="37" spans="1:41" ht="15.75" x14ac:dyDescent="0.2">
      <c r="A37" s="1"/>
      <c r="B37" s="1"/>
      <c r="C37" s="1"/>
      <c r="D37" s="1"/>
      <c r="E37" s="139"/>
      <c r="F37" s="27">
        <v>90</v>
      </c>
      <c r="G37" s="62">
        <v>71.8</v>
      </c>
      <c r="H37" s="67">
        <v>40.68</v>
      </c>
      <c r="I37" s="63">
        <v>407.2</v>
      </c>
      <c r="J37" s="63"/>
      <c r="K37" s="28">
        <f t="shared" si="15"/>
        <v>0.50000000000011369</v>
      </c>
      <c r="L37" s="28">
        <f t="shared" si="17"/>
        <v>10.820000000002461</v>
      </c>
      <c r="M37" s="29">
        <f t="shared" si="18"/>
        <v>14.958525345625523</v>
      </c>
      <c r="N37" s="25"/>
      <c r="O37" s="126">
        <v>5.8</v>
      </c>
      <c r="P37" s="63">
        <v>9.74</v>
      </c>
      <c r="Q37" s="63">
        <v>427.58</v>
      </c>
      <c r="R37" s="30">
        <f t="shared" si="19"/>
        <v>0.3999999999996362</v>
      </c>
      <c r="S37" s="30">
        <f t="shared" si="16"/>
        <v>9.047999999991772</v>
      </c>
      <c r="T37" s="28">
        <f t="shared" si="20"/>
        <v>12.508755760357289</v>
      </c>
      <c r="U37" s="151"/>
      <c r="V37" s="71">
        <f t="shared" si="21"/>
        <v>99.991922005571027</v>
      </c>
      <c r="W37" s="1"/>
      <c r="AH37" s="105"/>
      <c r="AI37" s="105"/>
      <c r="AJ37" s="4"/>
      <c r="AK37" s="4"/>
      <c r="AL37" s="4"/>
      <c r="AM37" s="4"/>
      <c r="AN37" s="4"/>
      <c r="AO37" s="4"/>
    </row>
    <row r="38" spans="1:41" ht="15.75" x14ac:dyDescent="0.2">
      <c r="A38" s="1"/>
      <c r="B38" s="1"/>
      <c r="C38" s="1"/>
      <c r="D38" s="1"/>
      <c r="E38" s="139"/>
      <c r="F38" s="27">
        <v>100</v>
      </c>
      <c r="G38" s="62">
        <v>72</v>
      </c>
      <c r="H38" s="67">
        <v>40.68</v>
      </c>
      <c r="I38" s="63">
        <v>407.15</v>
      </c>
      <c r="J38" s="63"/>
      <c r="K38" s="28">
        <f t="shared" si="15"/>
        <v>0.50000000000011369</v>
      </c>
      <c r="L38" s="28">
        <f t="shared" si="17"/>
        <v>10.820000000002461</v>
      </c>
      <c r="M38" s="29">
        <f t="shared" si="18"/>
        <v>14.958525345625523</v>
      </c>
      <c r="N38" s="25"/>
      <c r="O38" s="126">
        <v>5.85</v>
      </c>
      <c r="P38" s="63">
        <v>9.7799999999999994</v>
      </c>
      <c r="Q38" s="63">
        <v>427.6</v>
      </c>
      <c r="R38" s="30">
        <f t="shared" si="19"/>
        <v>0.20000000000038654</v>
      </c>
      <c r="S38" s="30">
        <f t="shared" si="16"/>
        <v>4.5240000000087432</v>
      </c>
      <c r="T38" s="28">
        <f t="shared" si="20"/>
        <v>6.2543778801964196</v>
      </c>
      <c r="U38" s="151"/>
      <c r="V38" s="71">
        <f t="shared" si="21"/>
        <v>99.991874999999993</v>
      </c>
      <c r="W38" s="1"/>
      <c r="AH38" s="105"/>
      <c r="AI38" s="105"/>
      <c r="AJ38" s="4"/>
      <c r="AK38" s="4"/>
      <c r="AL38" s="4"/>
      <c r="AM38" s="4"/>
      <c r="AN38" s="4"/>
      <c r="AO38" s="4"/>
    </row>
    <row r="39" spans="1:41" ht="15.75" x14ac:dyDescent="0.2">
      <c r="A39" s="1"/>
      <c r="B39" s="1"/>
      <c r="C39" s="1"/>
      <c r="D39" s="1"/>
      <c r="E39" s="139"/>
      <c r="F39" s="27">
        <v>110</v>
      </c>
      <c r="G39" s="62">
        <v>72.3</v>
      </c>
      <c r="H39" s="67">
        <v>40.74</v>
      </c>
      <c r="I39" s="63">
        <v>407.1</v>
      </c>
      <c r="J39" s="63"/>
      <c r="K39" s="28">
        <f t="shared" si="15"/>
        <v>0.49999999999954525</v>
      </c>
      <c r="L39" s="28">
        <f t="shared" si="17"/>
        <v>10.819999999990159</v>
      </c>
      <c r="M39" s="29">
        <f t="shared" si="18"/>
        <v>14.958525345608514</v>
      </c>
      <c r="N39" s="25"/>
      <c r="O39" s="126">
        <v>5.86</v>
      </c>
      <c r="P39" s="63">
        <v>9.74</v>
      </c>
      <c r="Q39" s="63">
        <v>427.67</v>
      </c>
      <c r="R39" s="30">
        <f t="shared" si="19"/>
        <v>0.69999999999993179</v>
      </c>
      <c r="S39" s="30">
        <f t="shared" si="16"/>
        <v>15.833999999998458</v>
      </c>
      <c r="T39" s="28">
        <f t="shared" si="20"/>
        <v>21.89032258064303</v>
      </c>
      <c r="U39" s="151"/>
      <c r="V39" s="71">
        <f t="shared" si="21"/>
        <v>99.991894882434309</v>
      </c>
      <c r="W39" s="1"/>
      <c r="AH39" s="85"/>
      <c r="AI39" s="85"/>
    </row>
    <row r="40" spans="1:41" ht="15.75" x14ac:dyDescent="0.2">
      <c r="A40" s="1"/>
      <c r="B40" s="1"/>
      <c r="C40" s="1"/>
      <c r="D40" s="1"/>
      <c r="E40" s="139"/>
      <c r="F40" s="27">
        <v>120</v>
      </c>
      <c r="G40" s="62">
        <v>72.5</v>
      </c>
      <c r="H40" s="67">
        <v>40.74</v>
      </c>
      <c r="I40" s="63">
        <v>407.05</v>
      </c>
      <c r="J40" s="63"/>
      <c r="K40" s="28">
        <f t="shared" si="15"/>
        <v>0.50000000000011369</v>
      </c>
      <c r="L40" s="28">
        <f t="shared" si="17"/>
        <v>10.820000000002461</v>
      </c>
      <c r="M40" s="29">
        <f t="shared" si="18"/>
        <v>14.958525345625523</v>
      </c>
      <c r="N40" s="25"/>
      <c r="O40" s="126">
        <v>6</v>
      </c>
      <c r="P40" s="63">
        <v>9.74</v>
      </c>
      <c r="Q40" s="63">
        <v>427.7</v>
      </c>
      <c r="R40" s="30">
        <f t="shared" si="19"/>
        <v>0.29999999999972715</v>
      </c>
      <c r="S40" s="30">
        <f t="shared" si="16"/>
        <v>6.7859999999938285</v>
      </c>
      <c r="T40" s="28">
        <f t="shared" si="20"/>
        <v>9.381566820267965</v>
      </c>
      <c r="U40" s="151"/>
      <c r="V40" s="71">
        <f t="shared" si="21"/>
        <v>99.991724137931044</v>
      </c>
      <c r="W40" s="1"/>
      <c r="AH40" s="85"/>
    </row>
    <row r="41" spans="1:41" ht="15.75" x14ac:dyDescent="0.2">
      <c r="A41" s="1"/>
      <c r="B41" s="1"/>
      <c r="C41" s="1"/>
      <c r="D41" s="1"/>
      <c r="E41" s="139"/>
      <c r="F41" s="27">
        <v>130</v>
      </c>
      <c r="G41" s="62">
        <v>72.7</v>
      </c>
      <c r="H41" s="67">
        <v>40.76</v>
      </c>
      <c r="I41" s="63">
        <v>407</v>
      </c>
      <c r="J41" s="63"/>
      <c r="K41" s="28">
        <f t="shared" si="15"/>
        <v>0.50000000000011369</v>
      </c>
      <c r="L41" s="28">
        <f t="shared" si="17"/>
        <v>10.820000000002461</v>
      </c>
      <c r="M41" s="29">
        <f t="shared" si="18"/>
        <v>14.958525345625523</v>
      </c>
      <c r="N41" s="25"/>
      <c r="O41" s="126">
        <v>6.01</v>
      </c>
      <c r="P41" s="63">
        <v>9.74</v>
      </c>
      <c r="Q41" s="63">
        <v>427.72</v>
      </c>
      <c r="R41" s="30">
        <f t="shared" si="19"/>
        <v>0.20000000000038654</v>
      </c>
      <c r="S41" s="30">
        <f t="shared" si="16"/>
        <v>4.5240000000087432</v>
      </c>
      <c r="T41" s="28">
        <f t="shared" si="20"/>
        <v>6.2543778801964196</v>
      </c>
      <c r="U41" s="151"/>
      <c r="V41" s="71">
        <f t="shared" si="21"/>
        <v>99.991733149931221</v>
      </c>
      <c r="W41" s="1"/>
      <c r="AH41" s="85"/>
    </row>
    <row r="42" spans="1:41" ht="15.75" x14ac:dyDescent="0.2">
      <c r="E42" s="139"/>
      <c r="F42" s="27">
        <v>140</v>
      </c>
      <c r="G42" s="62">
        <v>72.8</v>
      </c>
      <c r="H42" s="67">
        <v>40.799999999999997</v>
      </c>
      <c r="I42" s="63">
        <v>406.98</v>
      </c>
      <c r="J42" s="63"/>
      <c r="K42" s="28">
        <f t="shared" si="15"/>
        <v>0.1999999999998181</v>
      </c>
      <c r="L42" s="28">
        <f t="shared" si="17"/>
        <v>4.3279999999960639</v>
      </c>
      <c r="M42" s="29">
        <f t="shared" si="18"/>
        <v>5.9834101382434071</v>
      </c>
      <c r="N42" s="25"/>
      <c r="O42" s="126">
        <v>6.15</v>
      </c>
      <c r="P42" s="63">
        <v>9.74</v>
      </c>
      <c r="Q42" s="63">
        <v>427.74</v>
      </c>
      <c r="R42" s="30">
        <f t="shared" si="19"/>
        <v>0.1999999999998181</v>
      </c>
      <c r="S42" s="30">
        <f t="shared" si="16"/>
        <v>4.523999999995886</v>
      </c>
      <c r="T42" s="28">
        <f t="shared" si="20"/>
        <v>6.2543778801786445</v>
      </c>
      <c r="U42" s="151"/>
      <c r="V42" s="71">
        <f t="shared" si="21"/>
        <v>99.991552197802207</v>
      </c>
    </row>
    <row r="43" spans="1:41" ht="15.75" x14ac:dyDescent="0.2">
      <c r="E43" s="139"/>
      <c r="F43" s="27">
        <v>150</v>
      </c>
      <c r="G43" s="62">
        <v>73.2</v>
      </c>
      <c r="H43" s="67">
        <v>40.770000000000003</v>
      </c>
      <c r="I43" s="63">
        <v>406.96</v>
      </c>
      <c r="J43" s="63"/>
      <c r="K43" s="28">
        <f t="shared" si="15"/>
        <v>0.20000000000038654</v>
      </c>
      <c r="L43" s="28">
        <f t="shared" si="17"/>
        <v>4.3280000000083652</v>
      </c>
      <c r="M43" s="29">
        <f t="shared" si="18"/>
        <v>5.983410138260413</v>
      </c>
      <c r="N43" s="25"/>
      <c r="O43" s="126">
        <v>6.27</v>
      </c>
      <c r="P43" s="63">
        <v>9.74</v>
      </c>
      <c r="Q43" s="63">
        <v>427.76</v>
      </c>
      <c r="R43" s="30">
        <f t="shared" si="19"/>
        <v>0.1999999999998181</v>
      </c>
      <c r="S43" s="30">
        <f t="shared" si="16"/>
        <v>4.523999999995886</v>
      </c>
      <c r="T43" s="28">
        <f t="shared" si="20"/>
        <v>6.2543778801786445</v>
      </c>
      <c r="U43" s="151"/>
      <c r="V43" s="71">
        <f t="shared" si="21"/>
        <v>99.991434426229503</v>
      </c>
    </row>
    <row r="44" spans="1:41" ht="15.75" x14ac:dyDescent="0.2">
      <c r="E44" s="139"/>
      <c r="F44" s="27">
        <v>160</v>
      </c>
      <c r="G44" s="62">
        <v>73.400000000000006</v>
      </c>
      <c r="H44" s="67">
        <v>40.81</v>
      </c>
      <c r="I44" s="63">
        <v>406.96</v>
      </c>
      <c r="J44" s="63"/>
      <c r="K44" s="28">
        <f t="shared" si="15"/>
        <v>0</v>
      </c>
      <c r="L44" s="28">
        <f t="shared" si="17"/>
        <v>0</v>
      </c>
      <c r="M44" s="29">
        <f t="shared" si="18"/>
        <v>0</v>
      </c>
      <c r="N44" s="25"/>
      <c r="O44" s="126">
        <v>6.29</v>
      </c>
      <c r="P44" s="63">
        <v>9.74</v>
      </c>
      <c r="Q44" s="63">
        <v>427.76</v>
      </c>
      <c r="R44" s="30">
        <f t="shared" si="19"/>
        <v>0</v>
      </c>
      <c r="S44" s="30">
        <f t="shared" si="16"/>
        <v>0</v>
      </c>
      <c r="T44" s="28" t="s">
        <v>49</v>
      </c>
      <c r="U44" s="151"/>
      <c r="V44" s="71">
        <f t="shared" si="21"/>
        <v>99.991430517711166</v>
      </c>
    </row>
    <row r="45" spans="1:41" ht="15.75" x14ac:dyDescent="0.2">
      <c r="E45" s="139"/>
      <c r="F45" s="27">
        <v>170</v>
      </c>
      <c r="G45" s="62">
        <v>73.599999999999994</v>
      </c>
      <c r="H45" s="67">
        <v>40.630000000000003</v>
      </c>
      <c r="I45" s="63">
        <v>406.92</v>
      </c>
      <c r="J45" s="63"/>
      <c r="K45" s="28">
        <f t="shared" si="15"/>
        <v>0.3999999999996362</v>
      </c>
      <c r="L45" s="28">
        <f t="shared" si="17"/>
        <v>8.6559999999921278</v>
      </c>
      <c r="M45" s="29">
        <f t="shared" si="18"/>
        <v>11.966820276486814</v>
      </c>
      <c r="N45" s="25"/>
      <c r="O45" s="126">
        <v>6.51</v>
      </c>
      <c r="P45" s="63">
        <v>9.81</v>
      </c>
      <c r="Q45" s="63">
        <v>427.82</v>
      </c>
      <c r="R45" s="30">
        <f t="shared" si="19"/>
        <v>0.60000000000002274</v>
      </c>
      <c r="S45" s="30">
        <f t="shared" si="16"/>
        <v>13.572000000000514</v>
      </c>
      <c r="T45" s="28">
        <f t="shared" si="20"/>
        <v>18.763133640553708</v>
      </c>
      <c r="U45" s="152"/>
      <c r="V45" s="71">
        <f t="shared" si="21"/>
        <v>99.991154891304348</v>
      </c>
    </row>
    <row r="46" spans="1:41" ht="16.5" thickBot="1" x14ac:dyDescent="0.25">
      <c r="E46" s="149"/>
      <c r="F46" s="31">
        <v>180</v>
      </c>
      <c r="G46" s="64">
        <v>73.900000000000006</v>
      </c>
      <c r="H46" s="68">
        <v>40.74</v>
      </c>
      <c r="I46" s="65">
        <v>406.85</v>
      </c>
      <c r="J46" s="65"/>
      <c r="K46" s="32">
        <f t="shared" si="15"/>
        <v>0.69999999999993179</v>
      </c>
      <c r="L46" s="32">
        <f t="shared" si="17"/>
        <v>15.147999999998524</v>
      </c>
      <c r="M46" s="33">
        <f t="shared" si="18"/>
        <v>20.941935483868928</v>
      </c>
      <c r="N46" s="25"/>
      <c r="O46" s="127">
        <v>6.7</v>
      </c>
      <c r="P46" s="65">
        <v>9.74</v>
      </c>
      <c r="Q46" s="65">
        <v>427.85</v>
      </c>
      <c r="R46" s="34">
        <f t="shared" si="19"/>
        <v>0.30000000000029559</v>
      </c>
      <c r="S46" s="34">
        <f t="shared" si="16"/>
        <v>6.7860000000066867</v>
      </c>
      <c r="T46" s="32">
        <f t="shared" si="20"/>
        <v>9.3815668202857427</v>
      </c>
      <c r="U46" s="65">
        <v>48.2</v>
      </c>
      <c r="V46" s="71">
        <f t="shared" si="21"/>
        <v>99.990933694181322</v>
      </c>
      <c r="AG46" s="85"/>
    </row>
    <row r="47" spans="1:41" ht="17.25" thickTop="1" thickBot="1" x14ac:dyDescent="0.25">
      <c r="E47" s="35"/>
      <c r="F47" s="25"/>
      <c r="G47" s="25"/>
      <c r="H47" s="25"/>
      <c r="I47" s="25"/>
      <c r="J47" s="25"/>
      <c r="K47" s="25"/>
      <c r="L47" s="36" t="s">
        <v>17</v>
      </c>
      <c r="M47" s="37">
        <f>AVERAGE(M29:M46)</f>
        <v>11.63440860215035</v>
      </c>
      <c r="N47" s="25"/>
      <c r="O47" s="25"/>
      <c r="P47" s="25"/>
      <c r="Q47" s="25"/>
      <c r="R47" s="89"/>
      <c r="S47" s="36" t="s">
        <v>17</v>
      </c>
      <c r="T47" s="37">
        <f>AVERAGE(T29:T46)</f>
        <v>11.466359447004846</v>
      </c>
      <c r="U47" s="25"/>
      <c r="V47" s="134">
        <f>AVERAGE(V29:V46)</f>
        <v>99.991959337878271</v>
      </c>
      <c r="AG47" s="85"/>
    </row>
    <row r="48" spans="1:41" ht="17.25" thickTop="1" thickBot="1" x14ac:dyDescent="0.25">
      <c r="E48" s="35"/>
      <c r="F48" s="25"/>
      <c r="G48" s="25"/>
      <c r="H48" s="25"/>
      <c r="I48" s="25"/>
      <c r="J48" s="25"/>
      <c r="K48" s="25"/>
      <c r="L48" s="36" t="s">
        <v>16</v>
      </c>
      <c r="M48" s="37">
        <f>((I28-I46)*$C$11/100)/(180/60)/$C$5</f>
        <v>11.634408602150348</v>
      </c>
      <c r="N48" s="25"/>
      <c r="O48" s="25"/>
      <c r="P48" s="25"/>
      <c r="Q48" s="25"/>
      <c r="R48" s="25"/>
      <c r="S48" s="38" t="s">
        <v>16</v>
      </c>
      <c r="T48" s="39">
        <f>-((Q28-Q46)*$C$12/100)/(180/60)/$C$5</f>
        <v>9.5552995391707043</v>
      </c>
      <c r="U48" s="25"/>
      <c r="AG48" s="85"/>
    </row>
    <row r="49" spans="5:32" ht="15.75" thickTop="1" thickBot="1" x14ac:dyDescent="0.25"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2"/>
      <c r="V49" s="75"/>
    </row>
    <row r="50" spans="5:32" ht="19.5" thickTop="1" thickBot="1" x14ac:dyDescent="0.25">
      <c r="E50" s="145" t="s">
        <v>14</v>
      </c>
      <c r="F50" s="43"/>
      <c r="G50" s="156" t="s">
        <v>10</v>
      </c>
      <c r="H50" s="157"/>
      <c r="I50" s="157"/>
      <c r="J50" s="157"/>
      <c r="K50" s="157"/>
      <c r="L50" s="157"/>
      <c r="M50" s="158"/>
      <c r="N50" s="35"/>
      <c r="O50" s="156" t="s">
        <v>11</v>
      </c>
      <c r="P50" s="157"/>
      <c r="Q50" s="157"/>
      <c r="R50" s="157"/>
      <c r="S50" s="157"/>
      <c r="T50" s="157"/>
      <c r="U50" s="157"/>
      <c r="V50" s="158"/>
      <c r="AB50" s="85"/>
      <c r="AC50" s="85"/>
    </row>
    <row r="51" spans="5:32" ht="20.25" thickTop="1" thickBot="1" x14ac:dyDescent="0.3">
      <c r="E51" s="146"/>
      <c r="F51" s="39" t="s">
        <v>7</v>
      </c>
      <c r="G51" s="93" t="s">
        <v>8</v>
      </c>
      <c r="H51" s="45" t="s">
        <v>22</v>
      </c>
      <c r="I51" s="46" t="s">
        <v>9</v>
      </c>
      <c r="J51" s="46" t="s">
        <v>23</v>
      </c>
      <c r="K51" s="46" t="s">
        <v>40</v>
      </c>
      <c r="L51" s="46" t="s">
        <v>24</v>
      </c>
      <c r="M51" s="39" t="s">
        <v>25</v>
      </c>
      <c r="N51" s="47"/>
      <c r="O51" s="132" t="s">
        <v>26</v>
      </c>
      <c r="P51" s="48" t="s">
        <v>27</v>
      </c>
      <c r="Q51" s="48" t="s">
        <v>37</v>
      </c>
      <c r="R51" s="48" t="s">
        <v>28</v>
      </c>
      <c r="S51" s="49" t="s">
        <v>29</v>
      </c>
      <c r="T51" s="53" t="s">
        <v>30</v>
      </c>
      <c r="U51" s="54" t="s">
        <v>20</v>
      </c>
      <c r="V51" s="18" t="s">
        <v>21</v>
      </c>
      <c r="AB51" s="85"/>
      <c r="AC51" s="85"/>
    </row>
    <row r="52" spans="5:32" ht="16.5" thickTop="1" x14ac:dyDescent="0.2">
      <c r="E52" s="146"/>
      <c r="F52" s="22">
        <v>0</v>
      </c>
      <c r="G52" s="60">
        <v>71.7</v>
      </c>
      <c r="H52" s="67">
        <v>38.840000000000003</v>
      </c>
      <c r="I52" s="61">
        <v>406.78</v>
      </c>
      <c r="J52" s="61"/>
      <c r="K52" s="23"/>
      <c r="L52" s="23"/>
      <c r="M52" s="24"/>
      <c r="N52" s="25"/>
      <c r="O52" s="125">
        <v>5.35</v>
      </c>
      <c r="P52" s="61">
        <v>9.31</v>
      </c>
      <c r="Q52" s="128">
        <v>427</v>
      </c>
      <c r="R52" s="106"/>
      <c r="S52" s="26"/>
      <c r="T52" s="23"/>
      <c r="U52" s="83">
        <v>46.5</v>
      </c>
      <c r="V52" s="70"/>
      <c r="AB52" s="85"/>
      <c r="AC52" s="85"/>
    </row>
    <row r="53" spans="5:32" ht="15.75" x14ac:dyDescent="0.2">
      <c r="E53" s="146"/>
      <c r="F53" s="27">
        <v>10</v>
      </c>
      <c r="G53" s="60">
        <v>72</v>
      </c>
      <c r="H53" s="67">
        <v>39.56</v>
      </c>
      <c r="I53" s="63">
        <v>406.4</v>
      </c>
      <c r="J53" s="63">
        <v>0.50000000000011369</v>
      </c>
      <c r="K53" s="28">
        <f>J53/10</f>
        <v>5.0000000000011369E-2</v>
      </c>
      <c r="L53" s="28">
        <f>J53*$C$11</f>
        <v>10.820000000002461</v>
      </c>
      <c r="M53" s="29">
        <f>(L53/1000)/((1/6)*$C$5)</f>
        <v>14.958525345625523</v>
      </c>
      <c r="N53" s="25"/>
      <c r="O53" s="126">
        <v>5.55</v>
      </c>
      <c r="P53" s="63">
        <v>9.64</v>
      </c>
      <c r="Q53" s="129">
        <v>427</v>
      </c>
      <c r="R53" s="107">
        <f>-(Q52-Q53)*10</f>
        <v>0</v>
      </c>
      <c r="S53" s="30">
        <f>R53*$C$12</f>
        <v>0</v>
      </c>
      <c r="T53" s="28" t="s">
        <v>49</v>
      </c>
      <c r="U53" s="150"/>
      <c r="V53" s="71">
        <f>(1-((O53/1000)/G53))*100</f>
        <v>99.992291666666659</v>
      </c>
      <c r="Y53" s="85"/>
      <c r="AB53" s="85"/>
      <c r="AC53" s="85"/>
    </row>
    <row r="54" spans="5:32" ht="15.75" x14ac:dyDescent="0.2">
      <c r="E54" s="146"/>
      <c r="F54" s="27">
        <v>20</v>
      </c>
      <c r="G54" s="60">
        <v>72.5</v>
      </c>
      <c r="H54" s="67">
        <v>39.909999999999997</v>
      </c>
      <c r="I54" s="63">
        <v>406.25</v>
      </c>
      <c r="J54" s="63">
        <v>0.50000000000011369</v>
      </c>
      <c r="K54" s="28">
        <f t="shared" ref="K54:K70" si="22">J54/10</f>
        <v>5.0000000000011369E-2</v>
      </c>
      <c r="L54" s="28">
        <f t="shared" ref="L54:L70" si="23">J54*$C$11</f>
        <v>10.820000000002461</v>
      </c>
      <c r="M54" s="29">
        <f t="shared" ref="M54:M70" si="24">(L54/1000)/((1/6)*$C$5)</f>
        <v>14.958525345625523</v>
      </c>
      <c r="N54" s="25"/>
      <c r="O54" s="126">
        <v>6.74</v>
      </c>
      <c r="P54" s="63">
        <v>9.75</v>
      </c>
      <c r="Q54" s="129">
        <v>427</v>
      </c>
      <c r="R54" s="107">
        <f t="shared" ref="R54:R70" si="25">-(Q53-Q54)*10</f>
        <v>0</v>
      </c>
      <c r="S54" s="30">
        <f t="shared" ref="S54:S70" si="26">R54*$C$12</f>
        <v>0</v>
      </c>
      <c r="T54" s="28" t="s">
        <v>49</v>
      </c>
      <c r="U54" s="151"/>
      <c r="V54" s="71">
        <f t="shared" ref="V54:V70" si="27">(1-((O54/1000)/G54))*100</f>
        <v>99.990703448275866</v>
      </c>
      <c r="Y54" s="85"/>
      <c r="AB54" s="85"/>
      <c r="AC54" s="85"/>
      <c r="AE54" s="85"/>
      <c r="AF54" s="85"/>
    </row>
    <row r="55" spans="5:32" ht="15.75" x14ac:dyDescent="0.2">
      <c r="E55" s="146"/>
      <c r="F55" s="27">
        <v>30</v>
      </c>
      <c r="G55" s="60">
        <v>72.8</v>
      </c>
      <c r="H55" s="67">
        <v>40.14</v>
      </c>
      <c r="I55" s="63">
        <v>406.23</v>
      </c>
      <c r="J55" s="63">
        <v>0</v>
      </c>
      <c r="K55" s="28">
        <f t="shared" si="22"/>
        <v>0</v>
      </c>
      <c r="L55" s="28">
        <f t="shared" si="23"/>
        <v>0</v>
      </c>
      <c r="M55" s="29">
        <f t="shared" si="24"/>
        <v>0</v>
      </c>
      <c r="N55" s="25"/>
      <c r="O55" s="126">
        <v>6.3</v>
      </c>
      <c r="P55" s="63">
        <v>9.74</v>
      </c>
      <c r="Q55" s="129">
        <v>427</v>
      </c>
      <c r="R55" s="107">
        <f t="shared" si="25"/>
        <v>0</v>
      </c>
      <c r="S55" s="30">
        <f t="shared" si="26"/>
        <v>0</v>
      </c>
      <c r="T55" s="28" t="s">
        <v>49</v>
      </c>
      <c r="U55" s="151"/>
      <c r="V55" s="71">
        <f t="shared" si="27"/>
        <v>99.991346153846152</v>
      </c>
      <c r="Y55" s="85"/>
      <c r="AE55" s="85"/>
      <c r="AF55" s="85"/>
    </row>
    <row r="56" spans="5:32" ht="15.75" x14ac:dyDescent="0.2">
      <c r="E56" s="146"/>
      <c r="F56" s="27">
        <v>40</v>
      </c>
      <c r="G56" s="60">
        <v>73.099999999999994</v>
      </c>
      <c r="H56" s="67">
        <v>40.25</v>
      </c>
      <c r="I56" s="63">
        <v>406.21</v>
      </c>
      <c r="J56" s="63">
        <v>0.50000000000011369</v>
      </c>
      <c r="K56" s="28">
        <f t="shared" si="22"/>
        <v>5.0000000000011369E-2</v>
      </c>
      <c r="L56" s="28">
        <f t="shared" si="23"/>
        <v>10.820000000002461</v>
      </c>
      <c r="M56" s="29">
        <f t="shared" si="24"/>
        <v>14.958525345625523</v>
      </c>
      <c r="N56" s="25"/>
      <c r="O56" s="126">
        <v>6.79</v>
      </c>
      <c r="P56" s="63">
        <v>9.74</v>
      </c>
      <c r="Q56" s="129">
        <v>427</v>
      </c>
      <c r="R56" s="107">
        <f t="shared" si="25"/>
        <v>0</v>
      </c>
      <c r="S56" s="30">
        <f t="shared" si="26"/>
        <v>0</v>
      </c>
      <c r="T56" s="28" t="s">
        <v>49</v>
      </c>
      <c r="U56" s="151"/>
      <c r="V56" s="71">
        <f t="shared" si="27"/>
        <v>99.99071135430917</v>
      </c>
      <c r="Y56" s="85"/>
    </row>
    <row r="57" spans="5:32" ht="15.75" x14ac:dyDescent="0.2">
      <c r="E57" s="146"/>
      <c r="F57" s="27">
        <v>50</v>
      </c>
      <c r="G57" s="60">
        <v>73.3</v>
      </c>
      <c r="H57" s="67">
        <v>40.25</v>
      </c>
      <c r="I57" s="63">
        <v>406.15</v>
      </c>
      <c r="J57" s="63">
        <v>0</v>
      </c>
      <c r="K57" s="28">
        <f t="shared" si="22"/>
        <v>0</v>
      </c>
      <c r="L57" s="28">
        <f t="shared" si="23"/>
        <v>0</v>
      </c>
      <c r="M57" s="29">
        <f t="shared" si="24"/>
        <v>0</v>
      </c>
      <c r="N57" s="25"/>
      <c r="O57" s="126">
        <v>6.9</v>
      </c>
      <c r="P57" s="63">
        <v>9.75</v>
      </c>
      <c r="Q57" s="129">
        <v>427</v>
      </c>
      <c r="R57" s="107">
        <f t="shared" si="25"/>
        <v>0</v>
      </c>
      <c r="S57" s="30">
        <f t="shared" si="26"/>
        <v>0</v>
      </c>
      <c r="T57" s="28" t="s">
        <v>49</v>
      </c>
      <c r="U57" s="151"/>
      <c r="V57" s="71">
        <f t="shared" si="27"/>
        <v>99.990586630286487</v>
      </c>
      <c r="Y57" s="85"/>
    </row>
    <row r="58" spans="5:32" ht="15.75" x14ac:dyDescent="0.2">
      <c r="E58" s="146"/>
      <c r="F58" s="27">
        <v>60</v>
      </c>
      <c r="G58" s="60">
        <v>73.599999999999994</v>
      </c>
      <c r="H58" s="67">
        <v>40.24</v>
      </c>
      <c r="I58" s="63">
        <v>406.1</v>
      </c>
      <c r="J58" s="63">
        <v>0.49999999999954525</v>
      </c>
      <c r="K58" s="28">
        <f t="shared" si="22"/>
        <v>4.9999999999954525E-2</v>
      </c>
      <c r="L58" s="28">
        <f t="shared" si="23"/>
        <v>10.819999999990159</v>
      </c>
      <c r="M58" s="29">
        <f t="shared" si="24"/>
        <v>14.958525345608514</v>
      </c>
      <c r="N58" s="25"/>
      <c r="O58" s="126">
        <v>6.91</v>
      </c>
      <c r="P58" s="63">
        <v>9.75</v>
      </c>
      <c r="Q58" s="129">
        <v>427</v>
      </c>
      <c r="R58" s="107">
        <f t="shared" si="25"/>
        <v>0</v>
      </c>
      <c r="S58" s="30">
        <f t="shared" si="26"/>
        <v>0</v>
      </c>
      <c r="T58" s="28" t="s">
        <v>49</v>
      </c>
      <c r="U58" s="151"/>
      <c r="V58" s="71">
        <f t="shared" si="27"/>
        <v>99.990611413043467</v>
      </c>
    </row>
    <row r="59" spans="5:32" ht="15.75" x14ac:dyDescent="0.2">
      <c r="E59" s="146"/>
      <c r="F59" s="27">
        <v>70</v>
      </c>
      <c r="G59" s="60">
        <v>73.8</v>
      </c>
      <c r="H59" s="67">
        <v>40.32</v>
      </c>
      <c r="I59" s="63">
        <v>406.04</v>
      </c>
      <c r="J59" s="63">
        <v>0.50000000000011369</v>
      </c>
      <c r="K59" s="28">
        <f t="shared" si="22"/>
        <v>5.0000000000011369E-2</v>
      </c>
      <c r="L59" s="28">
        <f t="shared" si="23"/>
        <v>10.820000000002461</v>
      </c>
      <c r="M59" s="29">
        <f t="shared" si="24"/>
        <v>14.958525345625523</v>
      </c>
      <c r="N59" s="25"/>
      <c r="O59" s="126">
        <v>6.96</v>
      </c>
      <c r="P59" s="63">
        <v>9.8000000000000007</v>
      </c>
      <c r="Q59" s="129">
        <v>427</v>
      </c>
      <c r="R59" s="107">
        <f t="shared" si="25"/>
        <v>0</v>
      </c>
      <c r="S59" s="30">
        <f t="shared" si="26"/>
        <v>0</v>
      </c>
      <c r="T59" s="28" t="s">
        <v>49</v>
      </c>
      <c r="U59" s="151"/>
      <c r="V59" s="71">
        <f t="shared" si="27"/>
        <v>99.990569105691051</v>
      </c>
    </row>
    <row r="60" spans="5:32" ht="15.75" x14ac:dyDescent="0.2">
      <c r="E60" s="146"/>
      <c r="F60" s="27">
        <v>80</v>
      </c>
      <c r="G60" s="60">
        <v>73.900000000000006</v>
      </c>
      <c r="H60" s="67">
        <v>40.26</v>
      </c>
      <c r="I60" s="63">
        <v>406.04</v>
      </c>
      <c r="J60" s="63">
        <v>0.50000000000011369</v>
      </c>
      <c r="K60" s="28">
        <f t="shared" si="22"/>
        <v>5.0000000000011369E-2</v>
      </c>
      <c r="L60" s="28">
        <f t="shared" si="23"/>
        <v>10.820000000002461</v>
      </c>
      <c r="M60" s="29">
        <f t="shared" si="24"/>
        <v>14.958525345625523</v>
      </c>
      <c r="N60" s="25"/>
      <c r="O60" s="126">
        <v>7.05</v>
      </c>
      <c r="P60" s="63">
        <v>9.8000000000000007</v>
      </c>
      <c r="Q60" s="129">
        <v>427.02</v>
      </c>
      <c r="R60" s="107">
        <f t="shared" si="25"/>
        <v>0.1999999999998181</v>
      </c>
      <c r="S60" s="30">
        <f t="shared" si="26"/>
        <v>4.523999999995886</v>
      </c>
      <c r="T60" s="28">
        <f t="shared" ref="T53:T70" si="28">(S60/1000)/((1/6)*$C$5)</f>
        <v>6.2543778801786445</v>
      </c>
      <c r="U60" s="151"/>
      <c r="V60" s="71">
        <f t="shared" si="27"/>
        <v>99.990460081190804</v>
      </c>
    </row>
    <row r="61" spans="5:32" ht="15.75" x14ac:dyDescent="0.2">
      <c r="E61" s="146"/>
      <c r="F61" s="27">
        <v>90</v>
      </c>
      <c r="G61" s="60">
        <v>74.3</v>
      </c>
      <c r="H61" s="67">
        <v>4026</v>
      </c>
      <c r="I61" s="63">
        <v>406.03</v>
      </c>
      <c r="J61" s="63">
        <v>0.50000000000011369</v>
      </c>
      <c r="K61" s="28">
        <f t="shared" si="22"/>
        <v>5.0000000000011369E-2</v>
      </c>
      <c r="L61" s="28">
        <f t="shared" si="23"/>
        <v>10.820000000002461</v>
      </c>
      <c r="M61" s="29">
        <f t="shared" si="24"/>
        <v>14.958525345625523</v>
      </c>
      <c r="N61" s="25"/>
      <c r="O61" s="126">
        <v>7.23</v>
      </c>
      <c r="P61" s="63">
        <v>9.82</v>
      </c>
      <c r="Q61" s="129">
        <v>427.05</v>
      </c>
      <c r="R61" s="107">
        <f t="shared" si="25"/>
        <v>0.30000000000029559</v>
      </c>
      <c r="S61" s="30">
        <f t="shared" si="26"/>
        <v>6.7860000000066867</v>
      </c>
      <c r="T61" s="28">
        <f t="shared" si="28"/>
        <v>9.3815668202857427</v>
      </c>
      <c r="U61" s="151"/>
      <c r="V61" s="71">
        <f t="shared" si="27"/>
        <v>99.990269179004045</v>
      </c>
    </row>
    <row r="62" spans="5:32" ht="15.75" x14ac:dyDescent="0.2">
      <c r="E62" s="146"/>
      <c r="F62" s="27">
        <v>100</v>
      </c>
      <c r="G62" s="60">
        <v>74.5</v>
      </c>
      <c r="H62" s="67">
        <v>40.26</v>
      </c>
      <c r="I62" s="63">
        <v>405.98</v>
      </c>
      <c r="J62" s="63">
        <v>0.50000000000011369</v>
      </c>
      <c r="K62" s="28">
        <f t="shared" si="22"/>
        <v>5.0000000000011369E-2</v>
      </c>
      <c r="L62" s="28">
        <f t="shared" si="23"/>
        <v>10.820000000002461</v>
      </c>
      <c r="M62" s="29">
        <f t="shared" si="24"/>
        <v>14.958525345625523</v>
      </c>
      <c r="N62" s="25"/>
      <c r="O62" s="126">
        <v>7.28</v>
      </c>
      <c r="P62" s="63">
        <v>9.8000000000000007</v>
      </c>
      <c r="Q62" s="129">
        <v>427.06</v>
      </c>
      <c r="R62" s="107">
        <f t="shared" si="25"/>
        <v>9.9999999999909051E-2</v>
      </c>
      <c r="S62" s="30">
        <f t="shared" si="26"/>
        <v>2.261999999997943</v>
      </c>
      <c r="T62" s="28">
        <f t="shared" si="28"/>
        <v>3.1271889400893222</v>
      </c>
      <c r="U62" s="151"/>
      <c r="V62" s="71">
        <f t="shared" si="27"/>
        <v>99.990228187919456</v>
      </c>
    </row>
    <row r="63" spans="5:32" ht="15.75" x14ac:dyDescent="0.2">
      <c r="E63" s="146"/>
      <c r="F63" s="27">
        <v>110</v>
      </c>
      <c r="G63" s="60">
        <v>74.8</v>
      </c>
      <c r="H63" s="67">
        <v>40.299999999999997</v>
      </c>
      <c r="I63" s="63">
        <v>405.92</v>
      </c>
      <c r="J63" s="63">
        <v>0.49999999999954525</v>
      </c>
      <c r="K63" s="28">
        <f t="shared" si="22"/>
        <v>4.9999999999954525E-2</v>
      </c>
      <c r="L63" s="28">
        <f t="shared" si="23"/>
        <v>10.819999999990159</v>
      </c>
      <c r="M63" s="29">
        <f t="shared" si="24"/>
        <v>14.958525345608514</v>
      </c>
      <c r="N63" s="25"/>
      <c r="O63" s="126">
        <v>7.31</v>
      </c>
      <c r="P63" s="63">
        <v>9.8000000000000007</v>
      </c>
      <c r="Q63" s="129">
        <v>427.09</v>
      </c>
      <c r="R63" s="107">
        <f t="shared" si="25"/>
        <v>0.29999999999972715</v>
      </c>
      <c r="S63" s="30">
        <f t="shared" si="26"/>
        <v>6.7859999999938285</v>
      </c>
      <c r="T63" s="28">
        <f t="shared" si="28"/>
        <v>9.381566820267965</v>
      </c>
      <c r="U63" s="151"/>
      <c r="V63" s="71">
        <f t="shared" si="27"/>
        <v>99.990227272727267</v>
      </c>
    </row>
    <row r="64" spans="5:32" ht="15.75" x14ac:dyDescent="0.2">
      <c r="E64" s="146"/>
      <c r="F64" s="27">
        <v>120</v>
      </c>
      <c r="G64" s="60">
        <v>75</v>
      </c>
      <c r="H64" s="67">
        <v>40.29</v>
      </c>
      <c r="I64" s="63">
        <v>405.92</v>
      </c>
      <c r="J64" s="63">
        <v>0.50000000000011369</v>
      </c>
      <c r="K64" s="28">
        <f t="shared" si="22"/>
        <v>5.0000000000011369E-2</v>
      </c>
      <c r="L64" s="28">
        <f t="shared" si="23"/>
        <v>10.820000000002461</v>
      </c>
      <c r="M64" s="29">
        <f t="shared" si="24"/>
        <v>14.958525345625523</v>
      </c>
      <c r="N64" s="25"/>
      <c r="O64" s="126">
        <v>7.47</v>
      </c>
      <c r="P64" s="63">
        <v>9.8000000000000007</v>
      </c>
      <c r="Q64" s="129">
        <v>427.12</v>
      </c>
      <c r="R64" s="107">
        <f t="shared" si="25"/>
        <v>0.30000000000029559</v>
      </c>
      <c r="S64" s="30">
        <f t="shared" si="26"/>
        <v>6.7860000000066867</v>
      </c>
      <c r="T64" s="28">
        <f t="shared" si="28"/>
        <v>9.3815668202857427</v>
      </c>
      <c r="U64" s="151"/>
      <c r="V64" s="71">
        <f t="shared" si="27"/>
        <v>99.990040000000008</v>
      </c>
    </row>
    <row r="65" spans="5:24" ht="15.75" x14ac:dyDescent="0.2">
      <c r="E65" s="146"/>
      <c r="F65" s="27">
        <v>130</v>
      </c>
      <c r="G65" s="60">
        <v>75.3</v>
      </c>
      <c r="H65" s="67">
        <v>40.31</v>
      </c>
      <c r="I65" s="63">
        <v>405.85</v>
      </c>
      <c r="J65" s="63">
        <v>0.50000000000011369</v>
      </c>
      <c r="K65" s="28">
        <f t="shared" si="22"/>
        <v>5.0000000000011369E-2</v>
      </c>
      <c r="L65" s="28">
        <f t="shared" si="23"/>
        <v>10.820000000002461</v>
      </c>
      <c r="M65" s="29">
        <f t="shared" si="24"/>
        <v>14.958525345625523</v>
      </c>
      <c r="N65" s="25"/>
      <c r="O65" s="126">
        <v>7.65</v>
      </c>
      <c r="P65" s="63">
        <v>9.8000000000000007</v>
      </c>
      <c r="Q65" s="129">
        <v>427.17</v>
      </c>
      <c r="R65" s="107">
        <f t="shared" si="25"/>
        <v>0.50000000000011369</v>
      </c>
      <c r="S65" s="30">
        <f t="shared" si="26"/>
        <v>11.310000000002573</v>
      </c>
      <c r="T65" s="28">
        <f t="shared" si="28"/>
        <v>15.635944700464387</v>
      </c>
      <c r="U65" s="151"/>
      <c r="V65" s="71">
        <f t="shared" si="27"/>
        <v>99.9898406374502</v>
      </c>
      <c r="X65" s="135">
        <f>AVERAGE(V53:V70)</f>
        <v>99.990316914843831</v>
      </c>
    </row>
    <row r="66" spans="5:24" ht="15.75" x14ac:dyDescent="0.2">
      <c r="E66" s="146"/>
      <c r="F66" s="27">
        <v>140</v>
      </c>
      <c r="G66" s="60">
        <v>75.5</v>
      </c>
      <c r="H66" s="67">
        <v>40.31</v>
      </c>
      <c r="I66" s="63">
        <v>405.8</v>
      </c>
      <c r="J66" s="63">
        <v>0.1999999999998181</v>
      </c>
      <c r="K66" s="28">
        <f t="shared" si="22"/>
        <v>1.999999999998181E-2</v>
      </c>
      <c r="L66" s="28">
        <f t="shared" si="23"/>
        <v>4.3279999999960639</v>
      </c>
      <c r="M66" s="29">
        <f t="shared" si="24"/>
        <v>5.9834101382434071</v>
      </c>
      <c r="N66" s="25"/>
      <c r="O66" s="126">
        <v>7.76</v>
      </c>
      <c r="P66" s="63">
        <v>9.8000000000000007</v>
      </c>
      <c r="Q66" s="129">
        <v>427.2</v>
      </c>
      <c r="R66" s="107">
        <f t="shared" si="25"/>
        <v>0.29999999999972715</v>
      </c>
      <c r="S66" s="30">
        <f t="shared" si="26"/>
        <v>6.7859999999938285</v>
      </c>
      <c r="T66" s="28">
        <f t="shared" si="28"/>
        <v>9.381566820267965</v>
      </c>
      <c r="U66" s="151"/>
      <c r="V66" s="71">
        <f t="shared" si="27"/>
        <v>99.989721854304634</v>
      </c>
    </row>
    <row r="67" spans="5:24" ht="15.75" x14ac:dyDescent="0.2">
      <c r="E67" s="146"/>
      <c r="F67" s="27">
        <v>150</v>
      </c>
      <c r="G67" s="60">
        <v>75.7</v>
      </c>
      <c r="H67" s="67">
        <v>40.36</v>
      </c>
      <c r="I67" s="63">
        <v>405.78</v>
      </c>
      <c r="J67" s="63">
        <v>0.20000000000038654</v>
      </c>
      <c r="K67" s="28">
        <f t="shared" si="22"/>
        <v>2.0000000000038654E-2</v>
      </c>
      <c r="L67" s="28">
        <f t="shared" si="23"/>
        <v>4.3280000000083652</v>
      </c>
      <c r="M67" s="29">
        <f t="shared" si="24"/>
        <v>5.983410138260413</v>
      </c>
      <c r="N67" s="25"/>
      <c r="O67" s="126">
        <v>7.86</v>
      </c>
      <c r="P67" s="63">
        <v>9.81</v>
      </c>
      <c r="Q67" s="129">
        <v>427.22</v>
      </c>
      <c r="R67" s="107">
        <f t="shared" si="25"/>
        <v>0.20000000000038654</v>
      </c>
      <c r="S67" s="30">
        <f t="shared" si="26"/>
        <v>4.5240000000087432</v>
      </c>
      <c r="T67" s="28">
        <f t="shared" si="28"/>
        <v>6.2543778801964196</v>
      </c>
      <c r="U67" s="151"/>
      <c r="V67" s="71">
        <f t="shared" si="27"/>
        <v>99.989616908850735</v>
      </c>
    </row>
    <row r="68" spans="5:24" ht="15.75" x14ac:dyDescent="0.2">
      <c r="E68" s="146"/>
      <c r="F68" s="27">
        <v>160</v>
      </c>
      <c r="G68" s="60">
        <v>76</v>
      </c>
      <c r="H68" s="67">
        <v>40.369999999999997</v>
      </c>
      <c r="I68" s="63">
        <v>405.75</v>
      </c>
      <c r="J68" s="63">
        <v>0</v>
      </c>
      <c r="K68" s="28">
        <f t="shared" si="22"/>
        <v>0</v>
      </c>
      <c r="L68" s="28">
        <f t="shared" si="23"/>
        <v>0</v>
      </c>
      <c r="M68" s="29">
        <f t="shared" si="24"/>
        <v>0</v>
      </c>
      <c r="N68" s="25"/>
      <c r="O68" s="126">
        <v>7.97</v>
      </c>
      <c r="P68" s="63">
        <v>9.81</v>
      </c>
      <c r="Q68" s="129">
        <v>427.25</v>
      </c>
      <c r="R68" s="107">
        <f t="shared" si="25"/>
        <v>0.29999999999972715</v>
      </c>
      <c r="S68" s="30">
        <f t="shared" si="26"/>
        <v>6.7859999999938285</v>
      </c>
      <c r="T68" s="28">
        <f t="shared" si="28"/>
        <v>9.381566820267965</v>
      </c>
      <c r="U68" s="151"/>
      <c r="V68" s="71">
        <f t="shared" si="27"/>
        <v>99.989513157894734</v>
      </c>
    </row>
    <row r="69" spans="5:24" ht="15.75" x14ac:dyDescent="0.2">
      <c r="E69" s="146"/>
      <c r="F69" s="27">
        <v>170</v>
      </c>
      <c r="G69" s="60">
        <v>76.3</v>
      </c>
      <c r="H69" s="67">
        <v>40.31</v>
      </c>
      <c r="I69" s="63">
        <v>405.72</v>
      </c>
      <c r="J69" s="63">
        <v>0.3999999999996362</v>
      </c>
      <c r="K69" s="28">
        <f t="shared" si="22"/>
        <v>3.999999999996362E-2</v>
      </c>
      <c r="L69" s="28">
        <f t="shared" si="23"/>
        <v>8.6559999999921278</v>
      </c>
      <c r="M69" s="29">
        <f t="shared" si="24"/>
        <v>11.966820276486814</v>
      </c>
      <c r="N69" s="25"/>
      <c r="O69" s="126">
        <v>8.01</v>
      </c>
      <c r="P69" s="63">
        <v>9.81</v>
      </c>
      <c r="Q69" s="129">
        <v>427.3</v>
      </c>
      <c r="R69" s="107">
        <f t="shared" si="25"/>
        <v>0.50000000000011369</v>
      </c>
      <c r="S69" s="30">
        <f t="shared" si="26"/>
        <v>11.310000000002573</v>
      </c>
      <c r="T69" s="28">
        <f t="shared" si="28"/>
        <v>15.635944700464387</v>
      </c>
      <c r="U69" s="152"/>
      <c r="V69" s="71">
        <f t="shared" si="27"/>
        <v>99.989501965923992</v>
      </c>
    </row>
    <row r="70" spans="5:24" ht="16.5" thickBot="1" x14ac:dyDescent="0.25">
      <c r="E70" s="147"/>
      <c r="F70" s="31">
        <v>180</v>
      </c>
      <c r="G70" s="96">
        <v>76.7</v>
      </c>
      <c r="H70" s="65">
        <v>40.04</v>
      </c>
      <c r="I70" s="95">
        <v>405.65</v>
      </c>
      <c r="J70" s="95">
        <v>0.69999999999993179</v>
      </c>
      <c r="K70" s="91">
        <f t="shared" si="22"/>
        <v>6.9999999999993179E-2</v>
      </c>
      <c r="L70" s="28">
        <f t="shared" si="23"/>
        <v>15.147999999998524</v>
      </c>
      <c r="M70" s="33">
        <f t="shared" si="24"/>
        <v>20.941935483868928</v>
      </c>
      <c r="N70" s="25"/>
      <c r="O70" s="127">
        <v>8.08</v>
      </c>
      <c r="P70" s="65">
        <v>9.81</v>
      </c>
      <c r="Q70" s="130">
        <v>427.32</v>
      </c>
      <c r="R70" s="108">
        <f t="shared" si="25"/>
        <v>0.1999999999998181</v>
      </c>
      <c r="S70" s="34">
        <f t="shared" si="26"/>
        <v>4.523999999995886</v>
      </c>
      <c r="T70" s="32">
        <f t="shared" si="28"/>
        <v>6.2543778801786445</v>
      </c>
      <c r="U70" s="84">
        <v>49.8</v>
      </c>
      <c r="V70" s="71">
        <f t="shared" si="27"/>
        <v>99.989465449804442</v>
      </c>
    </row>
    <row r="71" spans="5:24" ht="17.25" thickTop="1" thickBot="1" x14ac:dyDescent="0.25">
      <c r="G71" s="90"/>
      <c r="I71" s="90"/>
      <c r="J71" s="90"/>
      <c r="K71" s="55"/>
      <c r="L71" s="36" t="s">
        <v>17</v>
      </c>
      <c r="M71" s="37">
        <f>AVERAGE(M53:M70)</f>
        <v>11.63440860215035</v>
      </c>
      <c r="O71" s="90"/>
      <c r="R71" s="90"/>
      <c r="S71" s="56" t="s">
        <v>17</v>
      </c>
      <c r="T71" s="36">
        <f>AVERAGE(T53:T70)</f>
        <v>9.0972769166315626</v>
      </c>
      <c r="U71" s="86"/>
      <c r="V71" s="73"/>
    </row>
    <row r="72" spans="5:24" ht="17.25" thickTop="1" thickBot="1" x14ac:dyDescent="0.25">
      <c r="L72" s="38" t="s">
        <v>16</v>
      </c>
      <c r="M72" s="39">
        <f>((I52-I70)*$C$11/100)/(180/60)/$C$5</f>
        <v>18.781259600614366</v>
      </c>
      <c r="R72" s="85"/>
      <c r="S72" s="94" t="s">
        <v>16</v>
      </c>
      <c r="T72" s="38">
        <f>-((Q52-Q70)*$C$12/100)/(180/60)/$C$5</f>
        <v>5.5594470046081765</v>
      </c>
    </row>
    <row r="73" spans="5:24" ht="15" thickTop="1" x14ac:dyDescent="0.2"/>
  </sheetData>
  <mergeCells count="18"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  <mergeCell ref="X23:Y23"/>
    <mergeCell ref="X2:X22"/>
    <mergeCell ref="Z2:AA2"/>
    <mergeCell ref="AB2:AC2"/>
    <mergeCell ref="Y2:Y3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8059-B651-47B2-A85E-08DC2887BCEC}">
  <dimension ref="A1"/>
  <sheetViews>
    <sheetView topLeftCell="A10" zoomScale="70" zoomScaleNormal="70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workbookViewId="0">
      <selection activeCell="V22" sqref="V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DCE2-576A-4F7B-A1FC-0C938B66EE0D}">
  <dimension ref="A1"/>
  <sheetViews>
    <sheetView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Flux Chart</vt:lpstr>
      <vt:lpstr>Conductivity and Temperature</vt:lpstr>
      <vt:lpstr>Cumulative Volume Graph</vt:lpstr>
      <vt:lpstr>Average Flux and Cum. Volume</vt:lpstr>
      <vt:lpstr>Recovery</vt:lpstr>
      <vt:lpstr>Flux vs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</cp:lastModifiedBy>
  <dcterms:created xsi:type="dcterms:W3CDTF">2021-03-16T16:38:26Z</dcterms:created>
  <dcterms:modified xsi:type="dcterms:W3CDTF">2021-12-28T12:36:46Z</dcterms:modified>
</cp:coreProperties>
</file>