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6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C\Others 2\"/>
    </mc:Choice>
  </mc:AlternateContent>
  <bookViews>
    <workbookView xWindow="0" yWindow="0" windowWidth="15360" windowHeight="8340" firstSheet="2" activeTab="5"/>
  </bookViews>
  <sheets>
    <sheet name="Kinetics" sheetId="2" r:id="rId1"/>
    <sheet name="Sheet3" sheetId="3" r:id="rId2"/>
    <sheet name="Isotherm and thermodynamics" sheetId="1" r:id="rId3"/>
    <sheet name="Activation Energy" sheetId="4" r:id="rId4"/>
    <sheet name="PZC" sheetId="5" r:id="rId5"/>
    <sheet name="Sheet1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6" l="1"/>
  <c r="G20" i="6"/>
  <c r="F21" i="6"/>
  <c r="F20" i="6"/>
  <c r="E21" i="6"/>
  <c r="E20" i="6"/>
  <c r="D21" i="6"/>
  <c r="D20" i="6"/>
  <c r="H14" i="6"/>
  <c r="P14" i="6" s="1"/>
  <c r="G14" i="6"/>
  <c r="O14" i="6" s="1"/>
  <c r="H13" i="6"/>
  <c r="P13" i="6" s="1"/>
  <c r="G13" i="6"/>
  <c r="O13" i="6" s="1"/>
  <c r="H12" i="6"/>
  <c r="P12" i="6" s="1"/>
  <c r="G12" i="6"/>
  <c r="O12" i="6" s="1"/>
  <c r="H7" i="6"/>
  <c r="P7" i="6" s="1"/>
  <c r="G7" i="6"/>
  <c r="O7" i="6" s="1"/>
  <c r="H6" i="6"/>
  <c r="P6" i="6" s="1"/>
  <c r="G6" i="6"/>
  <c r="O6" i="6" s="1"/>
  <c r="H5" i="6"/>
  <c r="P5" i="6" s="1"/>
  <c r="G5" i="6"/>
  <c r="O5" i="6" s="1"/>
  <c r="S12" i="6" l="1"/>
  <c r="Q12" i="6"/>
  <c r="T12" i="6"/>
  <c r="R12" i="6"/>
  <c r="I12" i="6"/>
  <c r="I13" i="6"/>
  <c r="I14" i="6"/>
  <c r="J12" i="6"/>
  <c r="J13" i="6"/>
  <c r="J14" i="6"/>
  <c r="T5" i="6"/>
  <c r="R5" i="6"/>
  <c r="S5" i="6"/>
  <c r="Q5" i="6"/>
  <c r="J5" i="6"/>
  <c r="J6" i="6"/>
  <c r="J7" i="6"/>
  <c r="I5" i="6"/>
  <c r="I6" i="6"/>
  <c r="I7" i="6"/>
  <c r="I24" i="5"/>
  <c r="G33" i="5"/>
  <c r="F33" i="5"/>
  <c r="I33" i="5" s="1"/>
  <c r="G32" i="5"/>
  <c r="F32" i="5"/>
  <c r="I32" i="5" s="1"/>
  <c r="G31" i="5"/>
  <c r="F31" i="5"/>
  <c r="I31" i="5" s="1"/>
  <c r="G30" i="5"/>
  <c r="F30" i="5"/>
  <c r="G29" i="5"/>
  <c r="F29" i="5"/>
  <c r="I29" i="5" s="1"/>
  <c r="G28" i="5"/>
  <c r="F28" i="5"/>
  <c r="G27" i="5"/>
  <c r="F27" i="5"/>
  <c r="I27" i="5" s="1"/>
  <c r="G26" i="5"/>
  <c r="F26" i="5"/>
  <c r="I26" i="5" s="1"/>
  <c r="G25" i="5"/>
  <c r="F25" i="5"/>
  <c r="I25" i="5" s="1"/>
  <c r="G24" i="5"/>
  <c r="F24" i="5"/>
  <c r="G7" i="5"/>
  <c r="G8" i="5"/>
  <c r="G9" i="5"/>
  <c r="G10" i="5"/>
  <c r="G11" i="5"/>
  <c r="G12" i="5"/>
  <c r="G13" i="5"/>
  <c r="G14" i="5"/>
  <c r="G15" i="5"/>
  <c r="G6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K79" i="2"/>
  <c r="K78" i="2"/>
  <c r="K77" i="2"/>
  <c r="K76" i="2"/>
  <c r="K75" i="2"/>
  <c r="K74" i="2"/>
  <c r="L79" i="2"/>
  <c r="L78" i="2"/>
  <c r="L77" i="2"/>
  <c r="L76" i="2"/>
  <c r="L75" i="2"/>
  <c r="L74" i="2"/>
  <c r="F79" i="2"/>
  <c r="F78" i="2"/>
  <c r="F77" i="2"/>
  <c r="F76" i="2"/>
  <c r="F75" i="2"/>
  <c r="F74" i="2"/>
  <c r="G75" i="2"/>
  <c r="G76" i="2"/>
  <c r="G77" i="2"/>
  <c r="G78" i="2"/>
  <c r="G79" i="2"/>
  <c r="G74" i="2"/>
  <c r="N12" i="6" l="1"/>
  <c r="L12" i="6"/>
  <c r="M12" i="6"/>
  <c r="K12" i="6"/>
  <c r="N5" i="6"/>
  <c r="L5" i="6"/>
  <c r="M5" i="6"/>
  <c r="K5" i="6"/>
  <c r="I28" i="5"/>
  <c r="I30" i="5"/>
  <c r="H24" i="5"/>
  <c r="H25" i="5"/>
  <c r="H26" i="5"/>
  <c r="H27" i="5"/>
  <c r="H28" i="5"/>
  <c r="H29" i="5"/>
  <c r="H30" i="5"/>
  <c r="H31" i="5"/>
  <c r="H32" i="5"/>
  <c r="H33" i="5"/>
  <c r="F6" i="5"/>
  <c r="F7" i="5"/>
  <c r="F8" i="5"/>
  <c r="F9" i="5"/>
  <c r="F10" i="5"/>
  <c r="F11" i="5"/>
  <c r="F12" i="5"/>
  <c r="F13" i="5"/>
  <c r="F14" i="5"/>
  <c r="F15" i="5"/>
  <c r="H15" i="5" l="1"/>
  <c r="I15" i="5"/>
  <c r="I14" i="5"/>
  <c r="H14" i="5"/>
  <c r="H13" i="5"/>
  <c r="I13" i="5"/>
  <c r="I12" i="5"/>
  <c r="H12" i="5"/>
  <c r="H11" i="5"/>
  <c r="I11" i="5"/>
  <c r="I10" i="5"/>
  <c r="H10" i="5"/>
  <c r="H9" i="5"/>
  <c r="I9" i="5"/>
  <c r="I8" i="5"/>
  <c r="H8" i="5"/>
  <c r="H7" i="5"/>
  <c r="I7" i="5"/>
  <c r="I6" i="5"/>
  <c r="H6" i="5"/>
  <c r="M125" i="1"/>
  <c r="L125" i="1"/>
  <c r="F125" i="1"/>
  <c r="G125" i="1" s="1"/>
  <c r="H125" i="1" s="1"/>
  <c r="M124" i="1"/>
  <c r="L124" i="1"/>
  <c r="F124" i="1"/>
  <c r="G124" i="1" s="1"/>
  <c r="H124" i="1" s="1"/>
  <c r="M123" i="1"/>
  <c r="L123" i="1"/>
  <c r="G123" i="1"/>
  <c r="H123" i="1" s="1"/>
  <c r="F123" i="1"/>
  <c r="M122" i="1"/>
  <c r="L122" i="1"/>
  <c r="F122" i="1"/>
  <c r="G122" i="1" s="1"/>
  <c r="H122" i="1" s="1"/>
  <c r="G113" i="1"/>
  <c r="E113" i="1"/>
  <c r="G111" i="1"/>
  <c r="E111" i="1"/>
  <c r="G109" i="1"/>
  <c r="E109" i="1"/>
  <c r="G107" i="1"/>
  <c r="E107" i="1"/>
  <c r="K39" i="3" l="1"/>
  <c r="K38" i="3"/>
  <c r="K37" i="3"/>
  <c r="K36" i="3"/>
  <c r="I39" i="3"/>
  <c r="I38" i="3"/>
  <c r="I37" i="3"/>
  <c r="I36" i="3"/>
  <c r="H39" i="3"/>
  <c r="J39" i="3"/>
  <c r="J38" i="3"/>
  <c r="H38" i="3"/>
  <c r="J37" i="3"/>
  <c r="H37" i="3"/>
  <c r="J36" i="3"/>
  <c r="H36" i="3"/>
  <c r="P131" i="4" l="1"/>
  <c r="E131" i="4"/>
  <c r="P128" i="4"/>
  <c r="E128" i="4"/>
  <c r="P129" i="4"/>
  <c r="E129" i="4"/>
  <c r="T104" i="4"/>
  <c r="U104" i="4" s="1"/>
  <c r="P104" i="4"/>
  <c r="R104" i="4" s="1"/>
  <c r="V104" i="4" s="1"/>
  <c r="T103" i="4"/>
  <c r="U103" i="4" s="1"/>
  <c r="P103" i="4"/>
  <c r="R103" i="4" s="1"/>
  <c r="V103" i="4" s="1"/>
  <c r="U102" i="4"/>
  <c r="T102" i="4"/>
  <c r="R102" i="4"/>
  <c r="V102" i="4" s="1"/>
  <c r="P102" i="4"/>
  <c r="I104" i="4"/>
  <c r="J104" i="4" s="1"/>
  <c r="E104" i="4"/>
  <c r="G104" i="4" s="1"/>
  <c r="K104" i="4" s="1"/>
  <c r="I103" i="4"/>
  <c r="J103" i="4" s="1"/>
  <c r="E103" i="4"/>
  <c r="G103" i="4" s="1"/>
  <c r="K103" i="4" s="1"/>
  <c r="J102" i="4"/>
  <c r="I102" i="4"/>
  <c r="E102" i="4"/>
  <c r="G102" i="4" s="1"/>
  <c r="K102" i="4" s="1"/>
  <c r="H81" i="4"/>
  <c r="P81" i="4" s="1"/>
  <c r="G81" i="4"/>
  <c r="O81" i="4" s="1"/>
  <c r="H80" i="4"/>
  <c r="P80" i="4" s="1"/>
  <c r="G80" i="4"/>
  <c r="O80" i="4" s="1"/>
  <c r="H79" i="4"/>
  <c r="P79" i="4" s="1"/>
  <c r="G79" i="4"/>
  <c r="O79" i="4" s="1"/>
  <c r="H77" i="4"/>
  <c r="P77" i="4" s="1"/>
  <c r="G77" i="4"/>
  <c r="O77" i="4" s="1"/>
  <c r="H76" i="4"/>
  <c r="P76" i="4" s="1"/>
  <c r="G76" i="4"/>
  <c r="O76" i="4" s="1"/>
  <c r="H75" i="4"/>
  <c r="P75" i="4" s="1"/>
  <c r="G75" i="4"/>
  <c r="O75" i="4" s="1"/>
  <c r="H73" i="4"/>
  <c r="P73" i="4" s="1"/>
  <c r="G73" i="4"/>
  <c r="O73" i="4" s="1"/>
  <c r="H72" i="4"/>
  <c r="P72" i="4" s="1"/>
  <c r="G72" i="4"/>
  <c r="O72" i="4" s="1"/>
  <c r="H71" i="4"/>
  <c r="P71" i="4" s="1"/>
  <c r="G71" i="4"/>
  <c r="O71" i="4" s="1"/>
  <c r="H69" i="4"/>
  <c r="P69" i="4" s="1"/>
  <c r="G69" i="4"/>
  <c r="O69" i="4" s="1"/>
  <c r="H68" i="4"/>
  <c r="P68" i="4" s="1"/>
  <c r="G68" i="4"/>
  <c r="O68" i="4" s="1"/>
  <c r="H67" i="4"/>
  <c r="P67" i="4" s="1"/>
  <c r="G67" i="4"/>
  <c r="O67" i="4" s="1"/>
  <c r="H65" i="4"/>
  <c r="P65" i="4" s="1"/>
  <c r="G65" i="4"/>
  <c r="O65" i="4" s="1"/>
  <c r="H64" i="4"/>
  <c r="P64" i="4" s="1"/>
  <c r="G64" i="4"/>
  <c r="O64" i="4" s="1"/>
  <c r="H63" i="4"/>
  <c r="P63" i="4" s="1"/>
  <c r="G63" i="4"/>
  <c r="O63" i="4" s="1"/>
  <c r="H61" i="4"/>
  <c r="P61" i="4" s="1"/>
  <c r="G61" i="4"/>
  <c r="O61" i="4" s="1"/>
  <c r="H60" i="4"/>
  <c r="P60" i="4" s="1"/>
  <c r="G60" i="4"/>
  <c r="O60" i="4" s="1"/>
  <c r="H59" i="4"/>
  <c r="P59" i="4" s="1"/>
  <c r="G59" i="4"/>
  <c r="O59" i="4" s="1"/>
  <c r="H54" i="4"/>
  <c r="P54" i="4" s="1"/>
  <c r="G54" i="4"/>
  <c r="O54" i="4" s="1"/>
  <c r="H53" i="4"/>
  <c r="P53" i="4" s="1"/>
  <c r="G53" i="4"/>
  <c r="O53" i="4" s="1"/>
  <c r="H52" i="4"/>
  <c r="P52" i="4" s="1"/>
  <c r="G52" i="4"/>
  <c r="O52" i="4" s="1"/>
  <c r="H50" i="4"/>
  <c r="P50" i="4" s="1"/>
  <c r="G50" i="4"/>
  <c r="O50" i="4" s="1"/>
  <c r="H49" i="4"/>
  <c r="P49" i="4" s="1"/>
  <c r="G49" i="4"/>
  <c r="O49" i="4" s="1"/>
  <c r="H48" i="4"/>
  <c r="P48" i="4" s="1"/>
  <c r="G48" i="4"/>
  <c r="O48" i="4" s="1"/>
  <c r="H46" i="4"/>
  <c r="P46" i="4" s="1"/>
  <c r="G46" i="4"/>
  <c r="O46" i="4" s="1"/>
  <c r="H45" i="4"/>
  <c r="P45" i="4" s="1"/>
  <c r="G45" i="4"/>
  <c r="O45" i="4" s="1"/>
  <c r="H44" i="4"/>
  <c r="P44" i="4" s="1"/>
  <c r="G44" i="4"/>
  <c r="O44" i="4" s="1"/>
  <c r="H42" i="4"/>
  <c r="P42" i="4" s="1"/>
  <c r="G42" i="4"/>
  <c r="O42" i="4" s="1"/>
  <c r="H41" i="4"/>
  <c r="P41" i="4" s="1"/>
  <c r="G41" i="4"/>
  <c r="O41" i="4" s="1"/>
  <c r="H40" i="4"/>
  <c r="P40" i="4" s="1"/>
  <c r="G40" i="4"/>
  <c r="O40" i="4" s="1"/>
  <c r="H38" i="4"/>
  <c r="P38" i="4" s="1"/>
  <c r="G38" i="4"/>
  <c r="O38" i="4" s="1"/>
  <c r="H37" i="4"/>
  <c r="P37" i="4" s="1"/>
  <c r="G37" i="4"/>
  <c r="O37" i="4" s="1"/>
  <c r="H36" i="4"/>
  <c r="P36" i="4" s="1"/>
  <c r="G36" i="4"/>
  <c r="O36" i="4" s="1"/>
  <c r="H34" i="4"/>
  <c r="P34" i="4" s="1"/>
  <c r="G34" i="4"/>
  <c r="O34" i="4" s="1"/>
  <c r="H33" i="4"/>
  <c r="P33" i="4" s="1"/>
  <c r="G33" i="4"/>
  <c r="O33" i="4" s="1"/>
  <c r="H32" i="4"/>
  <c r="P32" i="4" s="1"/>
  <c r="G32" i="4"/>
  <c r="O32" i="4" s="1"/>
  <c r="D91" i="4"/>
  <c r="D90" i="4"/>
  <c r="D89" i="4"/>
  <c r="D88" i="4"/>
  <c r="D87" i="4"/>
  <c r="G91" i="4"/>
  <c r="G90" i="4"/>
  <c r="G89" i="4"/>
  <c r="G88" i="4"/>
  <c r="G87" i="4"/>
  <c r="G86" i="4"/>
  <c r="D86" i="4"/>
  <c r="S59" i="4" l="1"/>
  <c r="Q59" i="4"/>
  <c r="F86" i="4" s="1"/>
  <c r="S63" i="4"/>
  <c r="Q63" i="4"/>
  <c r="F87" i="4" s="1"/>
  <c r="S67" i="4"/>
  <c r="Q67" i="4"/>
  <c r="F88" i="4" s="1"/>
  <c r="S71" i="4"/>
  <c r="Q71" i="4"/>
  <c r="F89" i="4" s="1"/>
  <c r="S75" i="4"/>
  <c r="Q75" i="4"/>
  <c r="F90" i="4" s="1"/>
  <c r="S79" i="4"/>
  <c r="Q79" i="4"/>
  <c r="F91" i="4" s="1"/>
  <c r="T59" i="4"/>
  <c r="R59" i="4"/>
  <c r="I86" i="4" s="1"/>
  <c r="T63" i="4"/>
  <c r="R63" i="4"/>
  <c r="I87" i="4" s="1"/>
  <c r="T67" i="4"/>
  <c r="R67" i="4"/>
  <c r="I88" i="4" s="1"/>
  <c r="T71" i="4"/>
  <c r="R71" i="4"/>
  <c r="I89" i="4" s="1"/>
  <c r="T75" i="4"/>
  <c r="R75" i="4"/>
  <c r="I90" i="4" s="1"/>
  <c r="T79" i="4"/>
  <c r="R79" i="4"/>
  <c r="I91" i="4" s="1"/>
  <c r="I59" i="4"/>
  <c r="I60" i="4"/>
  <c r="I61" i="4"/>
  <c r="I63" i="4"/>
  <c r="I64" i="4"/>
  <c r="I65" i="4"/>
  <c r="I67" i="4"/>
  <c r="I68" i="4"/>
  <c r="I69" i="4"/>
  <c r="I71" i="4"/>
  <c r="I72" i="4"/>
  <c r="I73" i="4"/>
  <c r="I75" i="4"/>
  <c r="I76" i="4"/>
  <c r="I77" i="4"/>
  <c r="I79" i="4"/>
  <c r="I80" i="4"/>
  <c r="I81" i="4"/>
  <c r="J59" i="4"/>
  <c r="J60" i="4"/>
  <c r="J61" i="4"/>
  <c r="J63" i="4"/>
  <c r="J64" i="4"/>
  <c r="J65" i="4"/>
  <c r="J67" i="4"/>
  <c r="J68" i="4"/>
  <c r="J69" i="4"/>
  <c r="J71" i="4"/>
  <c r="J72" i="4"/>
  <c r="J73" i="4"/>
  <c r="J75" i="4"/>
  <c r="J76" i="4"/>
  <c r="J77" i="4"/>
  <c r="J79" i="4"/>
  <c r="J80" i="4"/>
  <c r="J81" i="4"/>
  <c r="S32" i="4"/>
  <c r="Q32" i="4"/>
  <c r="E86" i="4" s="1"/>
  <c r="S36" i="4"/>
  <c r="Q36" i="4"/>
  <c r="E87" i="4" s="1"/>
  <c r="S40" i="4"/>
  <c r="Q40" i="4"/>
  <c r="E88" i="4" s="1"/>
  <c r="S44" i="4"/>
  <c r="Q44" i="4"/>
  <c r="E89" i="4" s="1"/>
  <c r="I32" i="4"/>
  <c r="I33" i="4"/>
  <c r="I34" i="4"/>
  <c r="I36" i="4"/>
  <c r="I37" i="4"/>
  <c r="I38" i="4"/>
  <c r="I40" i="4"/>
  <c r="I41" i="4"/>
  <c r="I42" i="4"/>
  <c r="I44" i="4"/>
  <c r="T48" i="4"/>
  <c r="R48" i="4"/>
  <c r="H90" i="4" s="1"/>
  <c r="T52" i="4"/>
  <c r="R52" i="4"/>
  <c r="H91" i="4" s="1"/>
  <c r="T32" i="4"/>
  <c r="R32" i="4"/>
  <c r="H86" i="4" s="1"/>
  <c r="T36" i="4"/>
  <c r="R36" i="4"/>
  <c r="H87" i="4" s="1"/>
  <c r="T40" i="4"/>
  <c r="R40" i="4"/>
  <c r="H88" i="4" s="1"/>
  <c r="T44" i="4"/>
  <c r="R44" i="4"/>
  <c r="H89" i="4" s="1"/>
  <c r="S48" i="4"/>
  <c r="Q48" i="4"/>
  <c r="E90" i="4" s="1"/>
  <c r="S52" i="4"/>
  <c r="Q52" i="4"/>
  <c r="E91" i="4" s="1"/>
  <c r="I45" i="4"/>
  <c r="I46" i="4"/>
  <c r="I48" i="4"/>
  <c r="I49" i="4"/>
  <c r="I50" i="4"/>
  <c r="I52" i="4"/>
  <c r="I53" i="4"/>
  <c r="I54" i="4"/>
  <c r="J32" i="4"/>
  <c r="J33" i="4"/>
  <c r="J34" i="4"/>
  <c r="J36" i="4"/>
  <c r="J37" i="4"/>
  <c r="J38" i="4"/>
  <c r="J40" i="4"/>
  <c r="J41" i="4"/>
  <c r="J42" i="4"/>
  <c r="J44" i="4"/>
  <c r="J45" i="4"/>
  <c r="J46" i="4"/>
  <c r="J48" i="4"/>
  <c r="J49" i="4"/>
  <c r="J50" i="4"/>
  <c r="J52" i="4"/>
  <c r="J53" i="4"/>
  <c r="J54" i="4"/>
  <c r="N79" i="4" l="1"/>
  <c r="L79" i="4"/>
  <c r="N71" i="4"/>
  <c r="L71" i="4"/>
  <c r="N63" i="4"/>
  <c r="L63" i="4"/>
  <c r="M79" i="4"/>
  <c r="K79" i="4"/>
  <c r="M71" i="4"/>
  <c r="K71" i="4"/>
  <c r="M63" i="4"/>
  <c r="K63" i="4"/>
  <c r="N75" i="4"/>
  <c r="L75" i="4"/>
  <c r="N67" i="4"/>
  <c r="L67" i="4"/>
  <c r="N59" i="4"/>
  <c r="L59" i="4"/>
  <c r="M75" i="4"/>
  <c r="K75" i="4"/>
  <c r="M67" i="4"/>
  <c r="K67" i="4"/>
  <c r="M59" i="4"/>
  <c r="K59" i="4"/>
  <c r="N52" i="4"/>
  <c r="L52" i="4"/>
  <c r="N44" i="4"/>
  <c r="L44" i="4"/>
  <c r="N36" i="4"/>
  <c r="L36" i="4"/>
  <c r="M52" i="4"/>
  <c r="K52" i="4"/>
  <c r="K44" i="4"/>
  <c r="M44" i="4"/>
  <c r="K36" i="4"/>
  <c r="M36" i="4"/>
  <c r="N48" i="4"/>
  <c r="L48" i="4"/>
  <c r="N40" i="4"/>
  <c r="L40" i="4"/>
  <c r="N32" i="4"/>
  <c r="L32" i="4"/>
  <c r="M48" i="4"/>
  <c r="K48" i="4"/>
  <c r="K40" i="4"/>
  <c r="M40" i="4"/>
  <c r="K32" i="4"/>
  <c r="M32" i="4"/>
  <c r="G140" i="1"/>
  <c r="F140" i="1"/>
  <c r="J140" i="1" s="1"/>
  <c r="G139" i="1"/>
  <c r="F139" i="1"/>
  <c r="I139" i="1" s="1"/>
  <c r="I140" i="1" l="1"/>
  <c r="H139" i="1"/>
  <c r="J139" i="1"/>
  <c r="H140" i="1"/>
  <c r="H133" i="1"/>
  <c r="H132" i="1"/>
  <c r="H131" i="1"/>
  <c r="C133" i="1"/>
  <c r="C132" i="1"/>
  <c r="C131" i="1"/>
  <c r="M121" i="1" l="1"/>
  <c r="L121" i="1"/>
  <c r="F121" i="1"/>
  <c r="G121" i="1" s="1"/>
  <c r="H121" i="1" s="1"/>
  <c r="M120" i="1"/>
  <c r="L120" i="1"/>
  <c r="F120" i="1"/>
  <c r="G120" i="1" s="1"/>
  <c r="AT60" i="1"/>
  <c r="AU60" i="1" s="1"/>
  <c r="AT59" i="1"/>
  <c r="AY59" i="1" s="1"/>
  <c r="AT58" i="1"/>
  <c r="AU58" i="1" s="1"/>
  <c r="AT56" i="1"/>
  <c r="AY56" i="1" s="1"/>
  <c r="AT55" i="1"/>
  <c r="AU55" i="1" s="1"/>
  <c r="AT54" i="1"/>
  <c r="AY54" i="1" s="1"/>
  <c r="AT52" i="1"/>
  <c r="AU52" i="1" s="1"/>
  <c r="AT51" i="1"/>
  <c r="AY51" i="1" s="1"/>
  <c r="AT50" i="1"/>
  <c r="AU50" i="1" s="1"/>
  <c r="AT45" i="1"/>
  <c r="AY45" i="1" s="1"/>
  <c r="AT44" i="1"/>
  <c r="AU44" i="1" s="1"/>
  <c r="AT43" i="1"/>
  <c r="AY43" i="1" s="1"/>
  <c r="AT41" i="1"/>
  <c r="AY41" i="1" s="1"/>
  <c r="AT40" i="1"/>
  <c r="AU40" i="1" s="1"/>
  <c r="AT39" i="1"/>
  <c r="AY39" i="1" s="1"/>
  <c r="AT37" i="1"/>
  <c r="AU37" i="1" s="1"/>
  <c r="AT36" i="1"/>
  <c r="AY36" i="1" s="1"/>
  <c r="AT35" i="1"/>
  <c r="AU35" i="1" s="1"/>
  <c r="AG60" i="1"/>
  <c r="AH60" i="1" s="1"/>
  <c r="AG59" i="1"/>
  <c r="AL59" i="1" s="1"/>
  <c r="AG58" i="1"/>
  <c r="AG56" i="1"/>
  <c r="AL56" i="1" s="1"/>
  <c r="AG55" i="1"/>
  <c r="AH55" i="1" s="1"/>
  <c r="AG54" i="1"/>
  <c r="AG52" i="1"/>
  <c r="AH52" i="1" s="1"/>
  <c r="AG51" i="1"/>
  <c r="AL51" i="1" s="1"/>
  <c r="AG50" i="1"/>
  <c r="AG44" i="1"/>
  <c r="AL44" i="1" s="1"/>
  <c r="AG45" i="1"/>
  <c r="AL45" i="1" s="1"/>
  <c r="AG43" i="1"/>
  <c r="AL43" i="1" s="1"/>
  <c r="AG40" i="1"/>
  <c r="AH40" i="1" s="1"/>
  <c r="AG41" i="1"/>
  <c r="AL41" i="1" s="1"/>
  <c r="AG39" i="1"/>
  <c r="AL39" i="1" s="1"/>
  <c r="AG36" i="1"/>
  <c r="AL36" i="1" s="1"/>
  <c r="AG37" i="1"/>
  <c r="AH37" i="1" s="1"/>
  <c r="AG35" i="1"/>
  <c r="AL35" i="1" s="1"/>
  <c r="Y36" i="3"/>
  <c r="W36" i="3"/>
  <c r="X36" i="3"/>
  <c r="V36" i="3"/>
  <c r="Q36" i="3"/>
  <c r="O36" i="3"/>
  <c r="P36" i="3"/>
  <c r="N36" i="3"/>
  <c r="R60" i="1"/>
  <c r="S60" i="1" s="1"/>
  <c r="R59" i="1"/>
  <c r="S59" i="1" s="1"/>
  <c r="R58" i="1"/>
  <c r="S58" i="1" s="1"/>
  <c r="R56" i="1"/>
  <c r="S56" i="1" s="1"/>
  <c r="R55" i="1"/>
  <c r="S55" i="1" s="1"/>
  <c r="R54" i="1"/>
  <c r="S54" i="1" s="1"/>
  <c r="R52" i="1"/>
  <c r="S52" i="1" s="1"/>
  <c r="R51" i="1"/>
  <c r="S51" i="1" s="1"/>
  <c r="R50" i="1"/>
  <c r="S50" i="1" s="1"/>
  <c r="R45" i="1"/>
  <c r="S45" i="1" s="1"/>
  <c r="R44" i="1"/>
  <c r="S44" i="1" s="1"/>
  <c r="R43" i="1"/>
  <c r="S43" i="1" s="1"/>
  <c r="R41" i="1"/>
  <c r="S41" i="1" s="1"/>
  <c r="R40" i="1"/>
  <c r="S40" i="1" s="1"/>
  <c r="R39" i="1"/>
  <c r="S39" i="1" s="1"/>
  <c r="R37" i="1"/>
  <c r="S37" i="1" s="1"/>
  <c r="R36" i="1"/>
  <c r="S36" i="1" s="1"/>
  <c r="R35" i="1"/>
  <c r="S35" i="1" s="1"/>
  <c r="F60" i="1"/>
  <c r="G60" i="1" s="1"/>
  <c r="F59" i="1"/>
  <c r="G59" i="1" s="1"/>
  <c r="F58" i="1"/>
  <c r="G58" i="1" s="1"/>
  <c r="F56" i="1"/>
  <c r="G56" i="1" s="1"/>
  <c r="F55" i="1"/>
  <c r="G55" i="1" s="1"/>
  <c r="F54" i="1"/>
  <c r="G54" i="1" s="1"/>
  <c r="F52" i="1"/>
  <c r="G52" i="1" s="1"/>
  <c r="F51" i="1"/>
  <c r="G51" i="1" s="1"/>
  <c r="F50" i="1"/>
  <c r="G50" i="1" s="1"/>
  <c r="F45" i="1"/>
  <c r="G45" i="1" s="1"/>
  <c r="F44" i="1"/>
  <c r="G44" i="1" s="1"/>
  <c r="F43" i="1"/>
  <c r="G43" i="1" s="1"/>
  <c r="F41" i="1"/>
  <c r="G41" i="1" s="1"/>
  <c r="F40" i="1"/>
  <c r="G40" i="1" s="1"/>
  <c r="F39" i="1"/>
  <c r="G39" i="1" s="1"/>
  <c r="F36" i="1"/>
  <c r="G36" i="1" s="1"/>
  <c r="F37" i="1"/>
  <c r="G37" i="1" s="1"/>
  <c r="F35" i="1"/>
  <c r="G35" i="1" s="1"/>
  <c r="H27" i="4"/>
  <c r="P27" i="4" s="1"/>
  <c r="G27" i="4"/>
  <c r="I27" i="4" s="1"/>
  <c r="H26" i="4"/>
  <c r="P26" i="4" s="1"/>
  <c r="G26" i="4"/>
  <c r="I26" i="4" s="1"/>
  <c r="H25" i="4"/>
  <c r="P25" i="4" s="1"/>
  <c r="G25" i="4"/>
  <c r="I25" i="4" s="1"/>
  <c r="H23" i="4"/>
  <c r="P23" i="4" s="1"/>
  <c r="G23" i="4"/>
  <c r="I23" i="4" s="1"/>
  <c r="H22" i="4"/>
  <c r="P22" i="4" s="1"/>
  <c r="G22" i="4"/>
  <c r="I22" i="4" s="1"/>
  <c r="H21" i="4"/>
  <c r="P21" i="4" s="1"/>
  <c r="G21" i="4"/>
  <c r="I21" i="4" s="1"/>
  <c r="H19" i="4"/>
  <c r="P19" i="4" s="1"/>
  <c r="G19" i="4"/>
  <c r="I19" i="4" s="1"/>
  <c r="H18" i="4"/>
  <c r="P18" i="4" s="1"/>
  <c r="G18" i="4"/>
  <c r="I18" i="4" s="1"/>
  <c r="H17" i="4"/>
  <c r="P17" i="4" s="1"/>
  <c r="G17" i="4"/>
  <c r="I17" i="4" s="1"/>
  <c r="H15" i="4"/>
  <c r="P15" i="4" s="1"/>
  <c r="G15" i="4"/>
  <c r="I15" i="4" s="1"/>
  <c r="H14" i="4"/>
  <c r="P14" i="4" s="1"/>
  <c r="G14" i="4"/>
  <c r="I14" i="4" s="1"/>
  <c r="H13" i="4"/>
  <c r="P13" i="4" s="1"/>
  <c r="G13" i="4"/>
  <c r="I13" i="4" s="1"/>
  <c r="H11" i="4"/>
  <c r="P11" i="4" s="1"/>
  <c r="G11" i="4"/>
  <c r="I11" i="4" s="1"/>
  <c r="H10" i="4"/>
  <c r="P10" i="4" s="1"/>
  <c r="G10" i="4"/>
  <c r="I10" i="4" s="1"/>
  <c r="H9" i="4"/>
  <c r="P9" i="4" s="1"/>
  <c r="G9" i="4"/>
  <c r="I9" i="4" s="1"/>
  <c r="H7" i="4"/>
  <c r="P7" i="4" s="1"/>
  <c r="G7" i="4"/>
  <c r="I7" i="4" s="1"/>
  <c r="H6" i="4"/>
  <c r="P6" i="4" s="1"/>
  <c r="G6" i="4"/>
  <c r="I6" i="4" s="1"/>
  <c r="H5" i="4"/>
  <c r="P5" i="4" s="1"/>
  <c r="G5" i="4"/>
  <c r="I5" i="4" s="1"/>
  <c r="H120" i="1" l="1"/>
  <c r="AY40" i="1"/>
  <c r="AL37" i="1"/>
  <c r="AN35" i="1" s="1"/>
  <c r="AK50" i="1"/>
  <c r="AH85" i="1" s="1"/>
  <c r="AK58" i="1"/>
  <c r="AH93" i="1" s="1"/>
  <c r="AL60" i="1"/>
  <c r="AY52" i="1"/>
  <c r="AY58" i="1"/>
  <c r="AL40" i="1"/>
  <c r="AN39" i="1" s="1"/>
  <c r="AK54" i="1"/>
  <c r="AH89" i="1" s="1"/>
  <c r="AL52" i="1"/>
  <c r="AH56" i="1"/>
  <c r="AU36" i="1"/>
  <c r="AY50" i="1"/>
  <c r="AY55" i="1"/>
  <c r="BA54" i="1" s="1"/>
  <c r="AY60" i="1"/>
  <c r="AM39" i="1"/>
  <c r="AG87" i="1" s="1"/>
  <c r="F107" i="1" s="1"/>
  <c r="AL50" i="1"/>
  <c r="AL55" i="1"/>
  <c r="AL58" i="1"/>
  <c r="AH51" i="1"/>
  <c r="AH54" i="1"/>
  <c r="AI54" i="1" s="1"/>
  <c r="AI67" i="1" s="1"/>
  <c r="AH59" i="1"/>
  <c r="AY35" i="1"/>
  <c r="AY37" i="1"/>
  <c r="AU43" i="1"/>
  <c r="AU45" i="1"/>
  <c r="AU51" i="1"/>
  <c r="AU54" i="1"/>
  <c r="AU56" i="1"/>
  <c r="AU59" i="1"/>
  <c r="K52" i="1"/>
  <c r="AH39" i="1"/>
  <c r="AH45" i="1"/>
  <c r="AN43" i="1"/>
  <c r="AL54" i="1"/>
  <c r="AH50" i="1"/>
  <c r="AI50" i="1" s="1"/>
  <c r="AI66" i="1" s="1"/>
  <c r="AH58" i="1"/>
  <c r="AU39" i="1"/>
  <c r="AU41" i="1"/>
  <c r="AX50" i="1"/>
  <c r="AH86" i="1" s="1"/>
  <c r="AX54" i="1"/>
  <c r="AH90" i="1" s="1"/>
  <c r="AX58" i="1"/>
  <c r="AH94" i="1" s="1"/>
  <c r="AX35" i="1"/>
  <c r="AH84" i="1" s="1"/>
  <c r="AX39" i="1"/>
  <c r="AH88" i="1" s="1"/>
  <c r="BA39" i="1"/>
  <c r="AX43" i="1"/>
  <c r="AH92" i="1" s="1"/>
  <c r="AY44" i="1"/>
  <c r="BA43" i="1" s="1"/>
  <c r="AM35" i="1"/>
  <c r="AG83" i="1" s="1"/>
  <c r="AM43" i="1"/>
  <c r="AG91" i="1" s="1"/>
  <c r="F111" i="1" s="1"/>
  <c r="AH41" i="1"/>
  <c r="AI39" i="1" s="1"/>
  <c r="AG67" i="1" s="1"/>
  <c r="AK39" i="1"/>
  <c r="AH87" i="1" s="1"/>
  <c r="AH35" i="1"/>
  <c r="AH43" i="1"/>
  <c r="AH36" i="1"/>
  <c r="AH44" i="1"/>
  <c r="AK35" i="1"/>
  <c r="AH83" i="1" s="1"/>
  <c r="AK43" i="1"/>
  <c r="AH91" i="1" s="1"/>
  <c r="K60" i="1"/>
  <c r="K58" i="1"/>
  <c r="K55" i="1"/>
  <c r="K50" i="1"/>
  <c r="K37" i="1"/>
  <c r="K35" i="1"/>
  <c r="K40" i="1"/>
  <c r="K43" i="1"/>
  <c r="K45" i="1"/>
  <c r="J39" i="1"/>
  <c r="F87" i="1" s="1"/>
  <c r="I87" i="1" s="1"/>
  <c r="M107" i="1" s="1"/>
  <c r="J50" i="1"/>
  <c r="F85" i="1" s="1"/>
  <c r="J54" i="1"/>
  <c r="J58" i="1"/>
  <c r="V39" i="1"/>
  <c r="F88" i="1" s="1"/>
  <c r="V50" i="1"/>
  <c r="F86" i="1" s="1"/>
  <c r="V58" i="1"/>
  <c r="W51" i="1"/>
  <c r="W54" i="1"/>
  <c r="W56" i="1"/>
  <c r="W59" i="1"/>
  <c r="W35" i="1"/>
  <c r="W37" i="1"/>
  <c r="W40" i="1"/>
  <c r="W43" i="1"/>
  <c r="W45" i="1"/>
  <c r="K36" i="1"/>
  <c r="K39" i="1"/>
  <c r="K41" i="1"/>
  <c r="K44" i="1"/>
  <c r="J35" i="1"/>
  <c r="F83" i="1" s="1"/>
  <c r="J43" i="1"/>
  <c r="F91" i="1" s="1"/>
  <c r="K51" i="1"/>
  <c r="K54" i="1"/>
  <c r="K56" i="1"/>
  <c r="K59" i="1"/>
  <c r="V35" i="1"/>
  <c r="F84" i="1" s="1"/>
  <c r="V43" i="1"/>
  <c r="F92" i="1" s="1"/>
  <c r="V54" i="1"/>
  <c r="W50" i="1"/>
  <c r="W52" i="1"/>
  <c r="W55" i="1"/>
  <c r="W58" i="1"/>
  <c r="W60" i="1"/>
  <c r="W36" i="1"/>
  <c r="W39" i="1"/>
  <c r="W41" i="1"/>
  <c r="W44" i="1"/>
  <c r="H39" i="1"/>
  <c r="H35" i="1"/>
  <c r="H43" i="1"/>
  <c r="I35" i="1"/>
  <c r="I39" i="1"/>
  <c r="I43" i="1"/>
  <c r="I67" i="1"/>
  <c r="T54" i="1"/>
  <c r="I66" i="1"/>
  <c r="H54" i="1"/>
  <c r="H67" i="1" s="1"/>
  <c r="H50" i="1"/>
  <c r="H58" i="1"/>
  <c r="H66" i="1"/>
  <c r="T58" i="1"/>
  <c r="I68" i="1"/>
  <c r="T50" i="1"/>
  <c r="T35" i="1"/>
  <c r="T43" i="1"/>
  <c r="G68" i="1"/>
  <c r="T39" i="1"/>
  <c r="G67" i="1"/>
  <c r="G66" i="1"/>
  <c r="U50" i="1"/>
  <c r="U54" i="1"/>
  <c r="U58" i="1"/>
  <c r="U35" i="1"/>
  <c r="U39" i="1"/>
  <c r="U43" i="1"/>
  <c r="I50" i="1"/>
  <c r="I54" i="1"/>
  <c r="I58" i="1"/>
  <c r="O7" i="4"/>
  <c r="O13" i="4"/>
  <c r="O18" i="4"/>
  <c r="O23" i="4"/>
  <c r="O5" i="4"/>
  <c r="O10" i="4"/>
  <c r="O15" i="4"/>
  <c r="O21" i="4"/>
  <c r="Q21" i="4" s="1"/>
  <c r="O26" i="4"/>
  <c r="O6" i="4"/>
  <c r="O9" i="4"/>
  <c r="Q9" i="4" s="1"/>
  <c r="O11" i="4"/>
  <c r="O14" i="4"/>
  <c r="O17" i="4"/>
  <c r="O19" i="4"/>
  <c r="O22" i="4"/>
  <c r="O25" i="4"/>
  <c r="Q25" i="4" s="1"/>
  <c r="O27" i="4"/>
  <c r="M5" i="4"/>
  <c r="K5" i="4"/>
  <c r="M13" i="4"/>
  <c r="K13" i="4"/>
  <c r="M21" i="4"/>
  <c r="K21" i="4"/>
  <c r="M9" i="4"/>
  <c r="K9" i="4"/>
  <c r="M17" i="4"/>
  <c r="K17" i="4"/>
  <c r="M25" i="4"/>
  <c r="K25" i="4"/>
  <c r="T5" i="4"/>
  <c r="R5" i="4"/>
  <c r="S5" i="4"/>
  <c r="T9" i="4"/>
  <c r="R9" i="4"/>
  <c r="S9" i="4"/>
  <c r="T13" i="4"/>
  <c r="R13" i="4"/>
  <c r="T17" i="4"/>
  <c r="R17" i="4"/>
  <c r="S17" i="4"/>
  <c r="T21" i="4"/>
  <c r="R21" i="4"/>
  <c r="T25" i="4"/>
  <c r="R25" i="4"/>
  <c r="S25" i="4"/>
  <c r="J5" i="4"/>
  <c r="J6" i="4"/>
  <c r="J7" i="4"/>
  <c r="J9" i="4"/>
  <c r="J10" i="4"/>
  <c r="J11" i="4"/>
  <c r="J13" i="4"/>
  <c r="J14" i="4"/>
  <c r="J15" i="4"/>
  <c r="J17" i="4"/>
  <c r="J18" i="4"/>
  <c r="J19" i="4"/>
  <c r="J21" i="4"/>
  <c r="J22" i="4"/>
  <c r="J23" i="4"/>
  <c r="J25" i="4"/>
  <c r="J26" i="4"/>
  <c r="J27" i="4"/>
  <c r="AA30" i="3"/>
  <c r="AI30" i="3" s="1"/>
  <c r="Z30" i="3"/>
  <c r="AH30" i="3" s="1"/>
  <c r="AA29" i="3"/>
  <c r="AC29" i="3" s="1"/>
  <c r="Z29" i="3"/>
  <c r="AH29" i="3" s="1"/>
  <c r="AA28" i="3"/>
  <c r="AI28" i="3" s="1"/>
  <c r="Z28" i="3"/>
  <c r="AH28" i="3" s="1"/>
  <c r="AA26" i="3"/>
  <c r="AI26" i="3" s="1"/>
  <c r="Z26" i="3"/>
  <c r="AH26" i="3" s="1"/>
  <c r="AA25" i="3"/>
  <c r="AI25" i="3" s="1"/>
  <c r="Z25" i="3"/>
  <c r="AH25" i="3" s="1"/>
  <c r="AA24" i="3"/>
  <c r="AI24" i="3" s="1"/>
  <c r="Z24" i="3"/>
  <c r="AH24" i="3" s="1"/>
  <c r="AA22" i="3"/>
  <c r="AI22" i="3" s="1"/>
  <c r="Z22" i="3"/>
  <c r="AH22" i="3" s="1"/>
  <c r="AA21" i="3"/>
  <c r="AI21" i="3" s="1"/>
  <c r="Z21" i="3"/>
  <c r="AH21" i="3" s="1"/>
  <c r="AA20" i="3"/>
  <c r="AI20" i="3" s="1"/>
  <c r="Z20" i="3"/>
  <c r="AH20" i="3" s="1"/>
  <c r="AA15" i="3"/>
  <c r="AC15" i="3" s="1"/>
  <c r="Z15" i="3"/>
  <c r="AH15" i="3" s="1"/>
  <c r="AA14" i="3"/>
  <c r="AC14" i="3" s="1"/>
  <c r="Z14" i="3"/>
  <c r="AH14" i="3" s="1"/>
  <c r="AA13" i="3"/>
  <c r="AI13" i="3" s="1"/>
  <c r="Z13" i="3"/>
  <c r="AH13" i="3" s="1"/>
  <c r="AA11" i="3"/>
  <c r="AI11" i="3" s="1"/>
  <c r="Z11" i="3"/>
  <c r="AH11" i="3" s="1"/>
  <c r="AA10" i="3"/>
  <c r="AI10" i="3" s="1"/>
  <c r="Z10" i="3"/>
  <c r="AH10" i="3" s="1"/>
  <c r="AA9" i="3"/>
  <c r="AI9" i="3" s="1"/>
  <c r="Z9" i="3"/>
  <c r="AH9" i="3" s="1"/>
  <c r="AA7" i="3"/>
  <c r="AC7" i="3" s="1"/>
  <c r="Z7" i="3"/>
  <c r="AH7" i="3" s="1"/>
  <c r="AA6" i="3"/>
  <c r="AI6" i="3" s="1"/>
  <c r="Z6" i="3"/>
  <c r="AH6" i="3" s="1"/>
  <c r="AA5" i="3"/>
  <c r="AI5" i="3" s="1"/>
  <c r="Z5" i="3"/>
  <c r="AH5" i="3" s="1"/>
  <c r="H30" i="3"/>
  <c r="J30" i="3" s="1"/>
  <c r="G30" i="3"/>
  <c r="O30" i="3" s="1"/>
  <c r="H29" i="3"/>
  <c r="P29" i="3" s="1"/>
  <c r="G29" i="3"/>
  <c r="O29" i="3" s="1"/>
  <c r="H28" i="3"/>
  <c r="J28" i="3" s="1"/>
  <c r="G28" i="3"/>
  <c r="I28" i="3" s="1"/>
  <c r="H26" i="3"/>
  <c r="P26" i="3" s="1"/>
  <c r="G26" i="3"/>
  <c r="O26" i="3" s="1"/>
  <c r="H25" i="3"/>
  <c r="P25" i="3" s="1"/>
  <c r="G25" i="3"/>
  <c r="O25" i="3" s="1"/>
  <c r="H24" i="3"/>
  <c r="P24" i="3" s="1"/>
  <c r="G24" i="3"/>
  <c r="I24" i="3" s="1"/>
  <c r="H22" i="3"/>
  <c r="P22" i="3" s="1"/>
  <c r="G22" i="3"/>
  <c r="O22" i="3" s="1"/>
  <c r="H21" i="3"/>
  <c r="P21" i="3" s="1"/>
  <c r="G21" i="3"/>
  <c r="I21" i="3" s="1"/>
  <c r="H20" i="3"/>
  <c r="P20" i="3" s="1"/>
  <c r="G20" i="3"/>
  <c r="O20" i="3" s="1"/>
  <c r="H15" i="3"/>
  <c r="P15" i="3" s="1"/>
  <c r="G15" i="3"/>
  <c r="O15" i="3" s="1"/>
  <c r="H14" i="3"/>
  <c r="P14" i="3" s="1"/>
  <c r="G14" i="3"/>
  <c r="O14" i="3" s="1"/>
  <c r="H13" i="3"/>
  <c r="P13" i="3" s="1"/>
  <c r="G13" i="3"/>
  <c r="O13" i="3" s="1"/>
  <c r="H11" i="3"/>
  <c r="P11" i="3" s="1"/>
  <c r="G11" i="3"/>
  <c r="O11" i="3" s="1"/>
  <c r="H10" i="3"/>
  <c r="P10" i="3" s="1"/>
  <c r="G10" i="3"/>
  <c r="O10" i="3" s="1"/>
  <c r="H9" i="3"/>
  <c r="P9" i="3" s="1"/>
  <c r="G9" i="3"/>
  <c r="O9" i="3" s="1"/>
  <c r="H7" i="3"/>
  <c r="P7" i="3" s="1"/>
  <c r="G7" i="3"/>
  <c r="O7" i="3" s="1"/>
  <c r="H6" i="3"/>
  <c r="P6" i="3" s="1"/>
  <c r="G6" i="3"/>
  <c r="O6" i="3" s="1"/>
  <c r="H5" i="3"/>
  <c r="P5" i="3" s="1"/>
  <c r="G5" i="3"/>
  <c r="O5" i="3" s="1"/>
  <c r="AK91" i="1" l="1"/>
  <c r="N111" i="1" s="1"/>
  <c r="H111" i="1"/>
  <c r="I92" i="1"/>
  <c r="M112" i="1" s="1"/>
  <c r="G112" i="1"/>
  <c r="AK92" i="1"/>
  <c r="N112" i="1" s="1"/>
  <c r="H112" i="1"/>
  <c r="AK94" i="1"/>
  <c r="N114" i="1" s="1"/>
  <c r="H114" i="1"/>
  <c r="AK93" i="1"/>
  <c r="N113" i="1" s="1"/>
  <c r="H113" i="1"/>
  <c r="I88" i="1"/>
  <c r="M108" i="1" s="1"/>
  <c r="G108" i="1"/>
  <c r="AK87" i="1"/>
  <c r="N107" i="1" s="1"/>
  <c r="H107" i="1"/>
  <c r="AK90" i="1"/>
  <c r="N110" i="1" s="1"/>
  <c r="H110" i="1"/>
  <c r="AK89" i="1"/>
  <c r="N109" i="1" s="1"/>
  <c r="H109" i="1"/>
  <c r="AK88" i="1"/>
  <c r="N108" i="1" s="1"/>
  <c r="H108" i="1"/>
  <c r="I86" i="1"/>
  <c r="M106" i="1" s="1"/>
  <c r="G106" i="1"/>
  <c r="I85" i="1"/>
  <c r="M105" i="1" s="1"/>
  <c r="G105" i="1"/>
  <c r="AK83" i="1"/>
  <c r="N103" i="1" s="1"/>
  <c r="H103" i="1"/>
  <c r="AJ83" i="1"/>
  <c r="L103" i="1" s="1"/>
  <c r="I131" i="1"/>
  <c r="J131" i="1" s="1"/>
  <c r="F103" i="1"/>
  <c r="AK86" i="1"/>
  <c r="N106" i="1" s="1"/>
  <c r="H106" i="1"/>
  <c r="AJ87" i="1"/>
  <c r="L107" i="1" s="1"/>
  <c r="I132" i="1"/>
  <c r="J132" i="1" s="1"/>
  <c r="I84" i="1"/>
  <c r="M104" i="1" s="1"/>
  <c r="G104" i="1"/>
  <c r="I83" i="1"/>
  <c r="M103" i="1" s="1"/>
  <c r="G103" i="1"/>
  <c r="AJ91" i="1"/>
  <c r="L111" i="1" s="1"/>
  <c r="I133" i="1"/>
  <c r="J133" i="1" s="1"/>
  <c r="AK84" i="1"/>
  <c r="N104" i="1" s="1"/>
  <c r="H104" i="1"/>
  <c r="AK85" i="1"/>
  <c r="N105" i="1" s="1"/>
  <c r="H105" i="1"/>
  <c r="BA50" i="1"/>
  <c r="F93" i="1"/>
  <c r="I93" i="1" s="1"/>
  <c r="M113" i="1" s="1"/>
  <c r="AI87" i="1"/>
  <c r="J107" i="1" s="1"/>
  <c r="AI83" i="1"/>
  <c r="J103" i="1" s="1"/>
  <c r="F90" i="1"/>
  <c r="F94" i="1"/>
  <c r="AI91" i="1"/>
  <c r="J111" i="1" s="1"/>
  <c r="AJ50" i="1"/>
  <c r="BA58" i="1"/>
  <c r="BA35" i="1"/>
  <c r="AM54" i="1"/>
  <c r="AG89" i="1" s="1"/>
  <c r="AI58" i="1"/>
  <c r="AI68" i="1" s="1"/>
  <c r="L50" i="1"/>
  <c r="E85" i="1" s="1"/>
  <c r="AN58" i="1"/>
  <c r="AN50" i="1"/>
  <c r="AM58" i="1"/>
  <c r="AG93" i="1" s="1"/>
  <c r="AJ35" i="1"/>
  <c r="AJ43" i="1"/>
  <c r="AJ58" i="1"/>
  <c r="AJ54" i="1"/>
  <c r="AM50" i="1"/>
  <c r="AG85" i="1" s="1"/>
  <c r="AJ39" i="1"/>
  <c r="AW54" i="1"/>
  <c r="AV54" i="1"/>
  <c r="AJ67" i="1" s="1"/>
  <c r="AZ58" i="1"/>
  <c r="AG94" i="1" s="1"/>
  <c r="AZ54" i="1"/>
  <c r="AG90" i="1" s="1"/>
  <c r="AZ50" i="1"/>
  <c r="AG86" i="1" s="1"/>
  <c r="AW58" i="1"/>
  <c r="AV58" i="1"/>
  <c r="AJ68" i="1" s="1"/>
  <c r="AW50" i="1"/>
  <c r="AV50" i="1"/>
  <c r="AJ66" i="1" s="1"/>
  <c r="AW39" i="1"/>
  <c r="AV39" i="1"/>
  <c r="AH67" i="1" s="1"/>
  <c r="AZ43" i="1"/>
  <c r="AG92" i="1" s="1"/>
  <c r="AZ39" i="1"/>
  <c r="AG88" i="1" s="1"/>
  <c r="F108" i="1" s="1"/>
  <c r="AZ35" i="1"/>
  <c r="AG84" i="1" s="1"/>
  <c r="AW43" i="1"/>
  <c r="AV43" i="1"/>
  <c r="AH68" i="1" s="1"/>
  <c r="AW35" i="1"/>
  <c r="AV35" i="1"/>
  <c r="AH66" i="1" s="1"/>
  <c r="AN54" i="1"/>
  <c r="F89" i="1"/>
  <c r="AI43" i="1"/>
  <c r="AG68" i="1" s="1"/>
  <c r="M50" i="1"/>
  <c r="AI35" i="1"/>
  <c r="AG66" i="1" s="1"/>
  <c r="I29" i="3"/>
  <c r="O28" i="3"/>
  <c r="Q28" i="3" s="1"/>
  <c r="AC26" i="3"/>
  <c r="AI15" i="3"/>
  <c r="X50" i="1"/>
  <c r="E86" i="1" s="1"/>
  <c r="L58" i="1"/>
  <c r="M58" i="1"/>
  <c r="L54" i="1"/>
  <c r="J20" i="3"/>
  <c r="AC5" i="3"/>
  <c r="I20" i="3"/>
  <c r="O21" i="3"/>
  <c r="S20" i="3" s="1"/>
  <c r="AI7" i="3"/>
  <c r="AB6" i="3"/>
  <c r="Y39" i="1"/>
  <c r="X39" i="1"/>
  <c r="E88" i="1" s="1"/>
  <c r="M39" i="1"/>
  <c r="L39" i="1"/>
  <c r="E87" i="1" s="1"/>
  <c r="X35" i="1"/>
  <c r="E84" i="1" s="1"/>
  <c r="Y35" i="1"/>
  <c r="Y50" i="1"/>
  <c r="M54" i="1"/>
  <c r="Y58" i="1"/>
  <c r="X58" i="1"/>
  <c r="X43" i="1"/>
  <c r="E92" i="1" s="1"/>
  <c r="Y43" i="1"/>
  <c r="X54" i="1"/>
  <c r="Y54" i="1"/>
  <c r="L43" i="1"/>
  <c r="E91" i="1" s="1"/>
  <c r="M43" i="1"/>
  <c r="L35" i="1"/>
  <c r="E83" i="1" s="1"/>
  <c r="M35" i="1"/>
  <c r="F66" i="1"/>
  <c r="F68" i="1"/>
  <c r="F67" i="1"/>
  <c r="H68" i="1"/>
  <c r="Q13" i="4"/>
  <c r="S21" i="4"/>
  <c r="S13" i="4"/>
  <c r="Q17" i="4"/>
  <c r="Q5" i="4"/>
  <c r="N25" i="4"/>
  <c r="L25" i="4"/>
  <c r="N17" i="4"/>
  <c r="L17" i="4"/>
  <c r="N9" i="4"/>
  <c r="L9" i="4"/>
  <c r="N21" i="4"/>
  <c r="L21" i="4"/>
  <c r="N13" i="4"/>
  <c r="L13" i="4"/>
  <c r="N5" i="4"/>
  <c r="L5" i="4"/>
  <c r="AI14" i="3"/>
  <c r="AK13" i="3" s="1"/>
  <c r="AC13" i="3"/>
  <c r="AB9" i="3"/>
  <c r="AC11" i="3"/>
  <c r="AC10" i="3"/>
  <c r="AC9" i="3"/>
  <c r="AC6" i="3"/>
  <c r="AB15" i="3"/>
  <c r="AB14" i="3"/>
  <c r="AB13" i="3"/>
  <c r="AB11" i="3"/>
  <c r="AB10" i="3"/>
  <c r="AB7" i="3"/>
  <c r="AB5" i="3"/>
  <c r="AC30" i="3"/>
  <c r="AI29" i="3"/>
  <c r="AK28" i="3" s="1"/>
  <c r="AC28" i="3"/>
  <c r="AC25" i="3"/>
  <c r="AC24" i="3"/>
  <c r="AC20" i="3"/>
  <c r="AC22" i="3"/>
  <c r="AC21" i="3"/>
  <c r="AB30" i="3"/>
  <c r="AB29" i="3"/>
  <c r="AB28" i="3"/>
  <c r="AB26" i="3"/>
  <c r="AB25" i="3"/>
  <c r="AB24" i="3"/>
  <c r="AB22" i="3"/>
  <c r="AB21" i="3"/>
  <c r="AB20" i="3"/>
  <c r="AL20" i="3"/>
  <c r="AJ20" i="3"/>
  <c r="AL24" i="3"/>
  <c r="AJ24" i="3"/>
  <c r="AL28" i="3"/>
  <c r="AJ28" i="3"/>
  <c r="AM20" i="3"/>
  <c r="AK20" i="3"/>
  <c r="AM24" i="3"/>
  <c r="AK24" i="3"/>
  <c r="AM28" i="3"/>
  <c r="AL5" i="3"/>
  <c r="AJ5" i="3"/>
  <c r="AL9" i="3"/>
  <c r="AJ9" i="3"/>
  <c r="AL13" i="3"/>
  <c r="AJ13" i="3"/>
  <c r="AM5" i="3"/>
  <c r="AK5" i="3"/>
  <c r="AM9" i="3"/>
  <c r="AK9" i="3"/>
  <c r="AM13" i="3"/>
  <c r="P30" i="3"/>
  <c r="J29" i="3"/>
  <c r="P28" i="3"/>
  <c r="J26" i="3"/>
  <c r="J25" i="3"/>
  <c r="J24" i="3"/>
  <c r="I30" i="3"/>
  <c r="I26" i="3"/>
  <c r="O24" i="3"/>
  <c r="I25" i="3"/>
  <c r="J22" i="3"/>
  <c r="J21" i="3"/>
  <c r="I22" i="3"/>
  <c r="T20" i="3"/>
  <c r="R20" i="3"/>
  <c r="T24" i="3"/>
  <c r="R24" i="3"/>
  <c r="S24" i="3"/>
  <c r="Q24" i="3"/>
  <c r="S28" i="3"/>
  <c r="T5" i="3"/>
  <c r="R5" i="3"/>
  <c r="T9" i="3"/>
  <c r="R9" i="3"/>
  <c r="T13" i="3"/>
  <c r="R13" i="3"/>
  <c r="S5" i="3"/>
  <c r="Q5" i="3"/>
  <c r="S9" i="3"/>
  <c r="Q9" i="3"/>
  <c r="S13" i="3"/>
  <c r="Q13" i="3"/>
  <c r="J5" i="3"/>
  <c r="J6" i="3"/>
  <c r="J7" i="3"/>
  <c r="J9" i="3"/>
  <c r="J10" i="3"/>
  <c r="J11" i="3"/>
  <c r="J13" i="3"/>
  <c r="J14" i="3"/>
  <c r="J15" i="3"/>
  <c r="I5" i="3"/>
  <c r="I6" i="3"/>
  <c r="I7" i="3"/>
  <c r="I9" i="3"/>
  <c r="I10" i="3"/>
  <c r="I11" i="3"/>
  <c r="I13" i="3"/>
  <c r="I14" i="3"/>
  <c r="I15" i="3"/>
  <c r="I88" i="2"/>
  <c r="K88" i="2" s="1"/>
  <c r="F88" i="2"/>
  <c r="E94" i="2" s="1"/>
  <c r="I87" i="2"/>
  <c r="K87" i="2" s="1"/>
  <c r="F87" i="2"/>
  <c r="E93" i="2" s="1"/>
  <c r="AJ94" i="1" l="1"/>
  <c r="L114" i="1" s="1"/>
  <c r="F114" i="1"/>
  <c r="H92" i="1"/>
  <c r="K112" i="1" s="1"/>
  <c r="E112" i="1"/>
  <c r="AJ92" i="1"/>
  <c r="L112" i="1" s="1"/>
  <c r="F112" i="1"/>
  <c r="AJ93" i="1"/>
  <c r="L113" i="1" s="1"/>
  <c r="F113" i="1"/>
  <c r="I94" i="1"/>
  <c r="M114" i="1" s="1"/>
  <c r="G114" i="1"/>
  <c r="H88" i="1"/>
  <c r="K108" i="1" s="1"/>
  <c r="E108" i="1"/>
  <c r="AJ89" i="1"/>
  <c r="L109" i="1" s="1"/>
  <c r="F109" i="1"/>
  <c r="I90" i="1"/>
  <c r="M110" i="1" s="1"/>
  <c r="G110" i="1"/>
  <c r="AJ90" i="1"/>
  <c r="L110" i="1" s="1"/>
  <c r="F110" i="1"/>
  <c r="H87" i="1"/>
  <c r="K107" i="1" s="1"/>
  <c r="D132" i="1"/>
  <c r="E132" i="1" s="1"/>
  <c r="AJ86" i="1"/>
  <c r="L106" i="1" s="1"/>
  <c r="F106" i="1"/>
  <c r="AJ85" i="1"/>
  <c r="L105" i="1" s="1"/>
  <c r="F105" i="1"/>
  <c r="H85" i="1"/>
  <c r="K105" i="1" s="1"/>
  <c r="E105" i="1"/>
  <c r="H83" i="1"/>
  <c r="K103" i="1" s="1"/>
  <c r="D131" i="1"/>
  <c r="E131" i="1" s="1"/>
  <c r="E103" i="1"/>
  <c r="H91" i="1"/>
  <c r="K111" i="1" s="1"/>
  <c r="D133" i="1"/>
  <c r="E133" i="1" s="1"/>
  <c r="H84" i="1"/>
  <c r="K104" i="1" s="1"/>
  <c r="E104" i="1"/>
  <c r="H86" i="1"/>
  <c r="K106" i="1" s="1"/>
  <c r="E106" i="1"/>
  <c r="AJ84" i="1"/>
  <c r="L104" i="1" s="1"/>
  <c r="F104" i="1"/>
  <c r="E94" i="1"/>
  <c r="E89" i="1"/>
  <c r="H89" i="1" s="1"/>
  <c r="K109" i="1" s="1"/>
  <c r="E93" i="1"/>
  <c r="H93" i="1" s="1"/>
  <c r="K113" i="1" s="1"/>
  <c r="AI89" i="1"/>
  <c r="J109" i="1" s="1"/>
  <c r="AI90" i="1"/>
  <c r="J110" i="1" s="1"/>
  <c r="AI86" i="1"/>
  <c r="J106" i="1" s="1"/>
  <c r="E90" i="1"/>
  <c r="AI85" i="1"/>
  <c r="J105" i="1" s="1"/>
  <c r="AI84" i="1"/>
  <c r="J104" i="1" s="1"/>
  <c r="AI94" i="1"/>
  <c r="J114" i="1" s="1"/>
  <c r="AI93" i="1"/>
  <c r="J113" i="1" s="1"/>
  <c r="AI92" i="1"/>
  <c r="J112" i="1" s="1"/>
  <c r="AJ88" i="1"/>
  <c r="L108" i="1" s="1"/>
  <c r="AI88" i="1"/>
  <c r="J108" i="1" s="1"/>
  <c r="G85" i="1"/>
  <c r="I105" i="1" s="1"/>
  <c r="G92" i="1"/>
  <c r="I112" i="1" s="1"/>
  <c r="G87" i="1"/>
  <c r="I107" i="1" s="1"/>
  <c r="I89" i="1"/>
  <c r="M109" i="1" s="1"/>
  <c r="G89" i="1"/>
  <c r="I109" i="1" s="1"/>
  <c r="G88" i="1"/>
  <c r="I108" i="1" s="1"/>
  <c r="G83" i="1"/>
  <c r="I103" i="1" s="1"/>
  <c r="G84" i="1"/>
  <c r="I104" i="1" s="1"/>
  <c r="G93" i="1"/>
  <c r="I113" i="1" s="1"/>
  <c r="I91" i="1"/>
  <c r="M111" i="1" s="1"/>
  <c r="G91" i="1"/>
  <c r="I111" i="1" s="1"/>
  <c r="G86" i="1"/>
  <c r="I106" i="1" s="1"/>
  <c r="G93" i="2"/>
  <c r="G94" i="2"/>
  <c r="Q20" i="3"/>
  <c r="AF28" i="3"/>
  <c r="W39" i="3" s="1"/>
  <c r="AD28" i="3"/>
  <c r="V39" i="3" s="1"/>
  <c r="AF20" i="3"/>
  <c r="E39" i="3" s="1"/>
  <c r="AD20" i="3"/>
  <c r="D39" i="3" s="1"/>
  <c r="AG24" i="3"/>
  <c r="Q39" i="3" s="1"/>
  <c r="AE24" i="3"/>
  <c r="P39" i="3" s="1"/>
  <c r="AF24" i="3"/>
  <c r="O39" i="3" s="1"/>
  <c r="AD24" i="3"/>
  <c r="N39" i="3" s="1"/>
  <c r="AG28" i="3"/>
  <c r="Y39" i="3" s="1"/>
  <c r="AE28" i="3"/>
  <c r="X39" i="3" s="1"/>
  <c r="AG20" i="3"/>
  <c r="G39" i="3" s="1"/>
  <c r="AE20" i="3"/>
  <c r="F39" i="3" s="1"/>
  <c r="AG13" i="3"/>
  <c r="Y37" i="3" s="1"/>
  <c r="AE13" i="3"/>
  <c r="X37" i="3" s="1"/>
  <c r="AG5" i="3"/>
  <c r="G37" i="3" s="1"/>
  <c r="AE5" i="3"/>
  <c r="F37" i="3" s="1"/>
  <c r="AF9" i="3"/>
  <c r="O37" i="3" s="1"/>
  <c r="AD9" i="3"/>
  <c r="N37" i="3" s="1"/>
  <c r="AG9" i="3"/>
  <c r="Q37" i="3" s="1"/>
  <c r="AE9" i="3"/>
  <c r="P37" i="3" s="1"/>
  <c r="AF13" i="3"/>
  <c r="W37" i="3" s="1"/>
  <c r="AD13" i="3"/>
  <c r="V37" i="3" s="1"/>
  <c r="AF5" i="3"/>
  <c r="E37" i="3" s="1"/>
  <c r="AD5" i="3"/>
  <c r="D37" i="3" s="1"/>
  <c r="T28" i="3"/>
  <c r="R28" i="3"/>
  <c r="M24" i="3"/>
  <c r="O38" i="3" s="1"/>
  <c r="K24" i="3"/>
  <c r="N38" i="3" s="1"/>
  <c r="N28" i="3"/>
  <c r="Y38" i="3" s="1"/>
  <c r="L28" i="3"/>
  <c r="X38" i="3" s="1"/>
  <c r="N20" i="3"/>
  <c r="G38" i="3" s="1"/>
  <c r="L20" i="3"/>
  <c r="F38" i="3" s="1"/>
  <c r="M28" i="3"/>
  <c r="W38" i="3" s="1"/>
  <c r="K28" i="3"/>
  <c r="V38" i="3" s="1"/>
  <c r="M20" i="3"/>
  <c r="E38" i="3" s="1"/>
  <c r="K20" i="3"/>
  <c r="D38" i="3" s="1"/>
  <c r="N24" i="3"/>
  <c r="Q38" i="3" s="1"/>
  <c r="L24" i="3"/>
  <c r="P38" i="3" s="1"/>
  <c r="M9" i="3"/>
  <c r="K9" i="3"/>
  <c r="N13" i="3"/>
  <c r="L13" i="3"/>
  <c r="N5" i="3"/>
  <c r="G36" i="3" s="1"/>
  <c r="L5" i="3"/>
  <c r="F36" i="3" s="1"/>
  <c r="M13" i="3"/>
  <c r="K13" i="3"/>
  <c r="M5" i="3"/>
  <c r="E36" i="3" s="1"/>
  <c r="K5" i="3"/>
  <c r="D36" i="3" s="1"/>
  <c r="N9" i="3"/>
  <c r="L9" i="3"/>
  <c r="H35" i="2"/>
  <c r="P35" i="2" s="1"/>
  <c r="G35" i="2"/>
  <c r="O35" i="2" s="1"/>
  <c r="H34" i="2"/>
  <c r="P34" i="2" s="1"/>
  <c r="G34" i="2"/>
  <c r="O34" i="2" s="1"/>
  <c r="H33" i="2"/>
  <c r="P33" i="2" s="1"/>
  <c r="G33" i="2"/>
  <c r="O33" i="2" s="1"/>
  <c r="H31" i="2"/>
  <c r="P31" i="2" s="1"/>
  <c r="G31" i="2"/>
  <c r="I31" i="2" s="1"/>
  <c r="H30" i="2"/>
  <c r="J30" i="2" s="1"/>
  <c r="G30" i="2"/>
  <c r="O30" i="2" s="1"/>
  <c r="H29" i="2"/>
  <c r="P29" i="2" s="1"/>
  <c r="D94" i="2" s="1"/>
  <c r="F94" i="2" s="1"/>
  <c r="G29" i="2"/>
  <c r="I29" i="2" s="1"/>
  <c r="H27" i="2"/>
  <c r="J27" i="2" s="1"/>
  <c r="G27" i="2"/>
  <c r="O27" i="2" s="1"/>
  <c r="H26" i="2"/>
  <c r="P26" i="2" s="1"/>
  <c r="G26" i="2"/>
  <c r="I26" i="2" s="1"/>
  <c r="H25" i="2"/>
  <c r="J25" i="2" s="1"/>
  <c r="G25" i="2"/>
  <c r="O25" i="2" s="1"/>
  <c r="H23" i="2"/>
  <c r="P23" i="2" s="1"/>
  <c r="G23" i="2"/>
  <c r="O23" i="2" s="1"/>
  <c r="H22" i="2"/>
  <c r="P22" i="2" s="1"/>
  <c r="G22" i="2"/>
  <c r="O22" i="2" s="1"/>
  <c r="H21" i="2"/>
  <c r="P21" i="2" s="1"/>
  <c r="G21" i="2"/>
  <c r="I21" i="2" s="1"/>
  <c r="H19" i="2"/>
  <c r="P19" i="2" s="1"/>
  <c r="G19" i="2"/>
  <c r="O19" i="2" s="1"/>
  <c r="H18" i="2"/>
  <c r="J18" i="2" s="1"/>
  <c r="G18" i="2"/>
  <c r="O18" i="2" s="1"/>
  <c r="H17" i="2"/>
  <c r="P17" i="2" s="1"/>
  <c r="G17" i="2"/>
  <c r="O17" i="2" s="1"/>
  <c r="H15" i="2"/>
  <c r="P15" i="2" s="1"/>
  <c r="G15" i="2"/>
  <c r="I15" i="2" s="1"/>
  <c r="H14" i="2"/>
  <c r="P14" i="2" s="1"/>
  <c r="G14" i="2"/>
  <c r="I14" i="2" s="1"/>
  <c r="H13" i="2"/>
  <c r="P13" i="2" s="1"/>
  <c r="G13" i="2"/>
  <c r="O13" i="2" s="1"/>
  <c r="H11" i="2"/>
  <c r="P11" i="2" s="1"/>
  <c r="G11" i="2"/>
  <c r="I11" i="2" s="1"/>
  <c r="H10" i="2"/>
  <c r="P10" i="2" s="1"/>
  <c r="G10" i="2"/>
  <c r="O10" i="2" s="1"/>
  <c r="H9" i="2"/>
  <c r="P9" i="2" s="1"/>
  <c r="G9" i="2"/>
  <c r="I9" i="2" s="1"/>
  <c r="H7" i="2"/>
  <c r="P7" i="2" s="1"/>
  <c r="H6" i="2"/>
  <c r="J6" i="2" s="1"/>
  <c r="H5" i="2"/>
  <c r="P5" i="2" s="1"/>
  <c r="G7" i="2"/>
  <c r="I7" i="2" s="1"/>
  <c r="G6" i="2"/>
  <c r="O6" i="2" s="1"/>
  <c r="G5" i="2"/>
  <c r="K15" i="1"/>
  <c r="S15" i="1" s="1"/>
  <c r="J15" i="1"/>
  <c r="R15" i="1" s="1"/>
  <c r="K14" i="1"/>
  <c r="S14" i="1" s="1"/>
  <c r="J14" i="1"/>
  <c r="R14" i="1" s="1"/>
  <c r="K13" i="1"/>
  <c r="J13" i="1"/>
  <c r="K11" i="1"/>
  <c r="J11" i="1"/>
  <c r="K10" i="1"/>
  <c r="J10" i="1"/>
  <c r="K9" i="1"/>
  <c r="J9" i="1"/>
  <c r="K6" i="1"/>
  <c r="K7" i="1"/>
  <c r="S7" i="1" s="1"/>
  <c r="K5" i="1"/>
  <c r="S5" i="1" s="1"/>
  <c r="J7" i="1"/>
  <c r="J6" i="1"/>
  <c r="R6" i="1" s="1"/>
  <c r="J5" i="1"/>
  <c r="H94" i="1" l="1"/>
  <c r="K114" i="1" s="1"/>
  <c r="E114" i="1"/>
  <c r="H90" i="1"/>
  <c r="K110" i="1" s="1"/>
  <c r="E110" i="1"/>
  <c r="G94" i="1"/>
  <c r="I114" i="1" s="1"/>
  <c r="G90" i="1"/>
  <c r="I110" i="1" s="1"/>
  <c r="L5" i="1"/>
  <c r="R5" i="1"/>
  <c r="L7" i="1"/>
  <c r="R7" i="1"/>
  <c r="L9" i="1"/>
  <c r="R9" i="1"/>
  <c r="L10" i="1"/>
  <c r="R10" i="1"/>
  <c r="L11" i="1"/>
  <c r="R11" i="1"/>
  <c r="R13" i="1"/>
  <c r="V13" i="1" s="1"/>
  <c r="M6" i="1"/>
  <c r="S6" i="1"/>
  <c r="W5" i="1" s="1"/>
  <c r="M9" i="1"/>
  <c r="S9" i="1"/>
  <c r="M10" i="1"/>
  <c r="S10" i="1"/>
  <c r="M11" i="1"/>
  <c r="S11" i="1"/>
  <c r="S13" i="1"/>
  <c r="W13" i="1" s="1"/>
  <c r="S17" i="2"/>
  <c r="S45" i="2" s="1"/>
  <c r="Q17" i="2"/>
  <c r="S33" i="2"/>
  <c r="S49" i="2" s="1"/>
  <c r="Q33" i="2"/>
  <c r="R49" i="2" s="1"/>
  <c r="T9" i="2"/>
  <c r="U43" i="2" s="1"/>
  <c r="R9" i="2"/>
  <c r="T13" i="2"/>
  <c r="U44" i="2" s="1"/>
  <c r="R13" i="2"/>
  <c r="T21" i="2"/>
  <c r="U46" i="2" s="1"/>
  <c r="R21" i="2"/>
  <c r="T33" i="2"/>
  <c r="U49" i="2" s="1"/>
  <c r="R33" i="2"/>
  <c r="T49" i="2" s="1"/>
  <c r="I6" i="2"/>
  <c r="J10" i="2"/>
  <c r="J7" i="2"/>
  <c r="J15" i="2"/>
  <c r="J21" i="2"/>
  <c r="J26" i="2"/>
  <c r="L25" i="2" s="1"/>
  <c r="F46" i="2" s="1"/>
  <c r="J29" i="2"/>
  <c r="J31" i="2"/>
  <c r="P25" i="2"/>
  <c r="P27" i="2"/>
  <c r="P30" i="2"/>
  <c r="T29" i="2" s="1"/>
  <c r="U48" i="2" s="1"/>
  <c r="J5" i="2"/>
  <c r="J9" i="2"/>
  <c r="J11" i="2"/>
  <c r="J19" i="2"/>
  <c r="I33" i="2"/>
  <c r="I34" i="2"/>
  <c r="I35" i="2"/>
  <c r="J33" i="2"/>
  <c r="J34" i="2"/>
  <c r="J35" i="2"/>
  <c r="O14" i="2"/>
  <c r="J14" i="2"/>
  <c r="J13" i="2"/>
  <c r="O31" i="2"/>
  <c r="I30" i="2"/>
  <c r="M29" i="2" s="1"/>
  <c r="E47" i="2" s="1"/>
  <c r="O29" i="2"/>
  <c r="D93" i="2" s="1"/>
  <c r="F93" i="2" s="1"/>
  <c r="I27" i="2"/>
  <c r="O26" i="2"/>
  <c r="S25" i="2" s="1"/>
  <c r="S47" i="2" s="1"/>
  <c r="I25" i="2"/>
  <c r="I23" i="2"/>
  <c r="I22" i="2"/>
  <c r="O21" i="2"/>
  <c r="I19" i="2"/>
  <c r="I18" i="2"/>
  <c r="O15" i="2"/>
  <c r="I13" i="2"/>
  <c r="M13" i="2" s="1"/>
  <c r="E43" i="2" s="1"/>
  <c r="O11" i="2"/>
  <c r="I10" i="2"/>
  <c r="M9" i="2" s="1"/>
  <c r="E42" i="2" s="1"/>
  <c r="O9" i="2"/>
  <c r="I17" i="2"/>
  <c r="P18" i="2"/>
  <c r="T17" i="2" s="1"/>
  <c r="U45" i="2" s="1"/>
  <c r="J23" i="2"/>
  <c r="J22" i="2"/>
  <c r="J17" i="2"/>
  <c r="O7" i="2"/>
  <c r="P6" i="2"/>
  <c r="T5" i="2" s="1"/>
  <c r="U42" i="2" s="1"/>
  <c r="I5" i="2"/>
  <c r="O5" i="2"/>
  <c r="U13" i="1"/>
  <c r="N9" i="1"/>
  <c r="G21" i="1" s="1"/>
  <c r="M7" i="1"/>
  <c r="L6" i="1"/>
  <c r="P5" i="1" s="1"/>
  <c r="H20" i="1" s="1"/>
  <c r="M5" i="1"/>
  <c r="L13" i="1"/>
  <c r="L14" i="1"/>
  <c r="L15" i="1"/>
  <c r="M13" i="1"/>
  <c r="M14" i="1"/>
  <c r="M15" i="1"/>
  <c r="O5" i="1" l="1"/>
  <c r="I20" i="1" s="1"/>
  <c r="N5" i="1"/>
  <c r="G20" i="1" s="1"/>
  <c r="O9" i="1"/>
  <c r="I21" i="1" s="1"/>
  <c r="T46" i="2"/>
  <c r="J78" i="2"/>
  <c r="T44" i="2"/>
  <c r="J76" i="2"/>
  <c r="T43" i="2"/>
  <c r="J75" i="2"/>
  <c r="R45" i="2"/>
  <c r="E77" i="2"/>
  <c r="V5" i="1"/>
  <c r="Q5" i="1"/>
  <c r="T13" i="1"/>
  <c r="Q9" i="1"/>
  <c r="J21" i="1" s="1"/>
  <c r="P9" i="1"/>
  <c r="H21" i="1" s="1"/>
  <c r="R5" i="2"/>
  <c r="S13" i="2"/>
  <c r="S44" i="2" s="1"/>
  <c r="R29" i="2"/>
  <c r="Q25" i="2"/>
  <c r="S9" i="2"/>
  <c r="S43" i="2" s="1"/>
  <c r="Q9" i="2"/>
  <c r="R17" i="2"/>
  <c r="Q13" i="2"/>
  <c r="S5" i="2"/>
  <c r="S42" i="2" s="1"/>
  <c r="Q5" i="2"/>
  <c r="S21" i="2"/>
  <c r="S46" i="2" s="1"/>
  <c r="Q21" i="2"/>
  <c r="S29" i="2"/>
  <c r="S48" i="2" s="1"/>
  <c r="Q29" i="2"/>
  <c r="T25" i="2"/>
  <c r="U47" i="2" s="1"/>
  <c r="R25" i="2"/>
  <c r="U5" i="1"/>
  <c r="T5" i="1"/>
  <c r="N5" i="2"/>
  <c r="G41" i="2" s="1"/>
  <c r="K9" i="2"/>
  <c r="D42" i="2" s="1"/>
  <c r="K21" i="2"/>
  <c r="D45" i="2" s="1"/>
  <c r="K29" i="2"/>
  <c r="D47" i="2" s="1"/>
  <c r="L5" i="2"/>
  <c r="F41" i="2" s="1"/>
  <c r="M21" i="2"/>
  <c r="E45" i="2" s="1"/>
  <c r="N25" i="2"/>
  <c r="G46" i="2" s="1"/>
  <c r="L9" i="2"/>
  <c r="F42" i="2" s="1"/>
  <c r="N9" i="2"/>
  <c r="G42" i="2" s="1"/>
  <c r="L29" i="2"/>
  <c r="F47" i="2" s="1"/>
  <c r="N29" i="2"/>
  <c r="G47" i="2" s="1"/>
  <c r="K13" i="2"/>
  <c r="D43" i="2" s="1"/>
  <c r="N33" i="2"/>
  <c r="G48" i="2" s="1"/>
  <c r="L33" i="2"/>
  <c r="F48" i="2" s="1"/>
  <c r="M33" i="2"/>
  <c r="E48" i="2" s="1"/>
  <c r="K33" i="2"/>
  <c r="D48" i="2" s="1"/>
  <c r="L13" i="2"/>
  <c r="F43" i="2" s="1"/>
  <c r="N13" i="2"/>
  <c r="G43" i="2" s="1"/>
  <c r="M25" i="2"/>
  <c r="E46" i="2" s="1"/>
  <c r="K25" i="2"/>
  <c r="D46" i="2" s="1"/>
  <c r="K17" i="2"/>
  <c r="D44" i="2" s="1"/>
  <c r="M17" i="2"/>
  <c r="E44" i="2" s="1"/>
  <c r="N21" i="2"/>
  <c r="G45" i="2" s="1"/>
  <c r="L21" i="2"/>
  <c r="F45" i="2" s="1"/>
  <c r="N17" i="2"/>
  <c r="G44" i="2" s="1"/>
  <c r="L17" i="2"/>
  <c r="F44" i="2" s="1"/>
  <c r="K5" i="2"/>
  <c r="D41" i="2" s="1"/>
  <c r="M5" i="2"/>
  <c r="E41" i="2" s="1"/>
  <c r="O13" i="1"/>
  <c r="I22" i="1" s="1"/>
  <c r="N13" i="1"/>
  <c r="G22" i="1" s="1"/>
  <c r="U9" i="1"/>
  <c r="T9" i="1"/>
  <c r="J20" i="1"/>
  <c r="V9" i="1"/>
  <c r="W9" i="1"/>
  <c r="Q13" i="1"/>
  <c r="J22" i="1" s="1"/>
  <c r="P13" i="1"/>
  <c r="H22" i="1" s="1"/>
  <c r="T45" i="2" l="1"/>
  <c r="J77" i="2"/>
  <c r="T48" i="2"/>
  <c r="I79" i="2"/>
  <c r="I77" i="2"/>
  <c r="I75" i="2"/>
  <c r="I78" i="2"/>
  <c r="I76" i="2"/>
  <c r="I74" i="2"/>
  <c r="T42" i="2"/>
  <c r="J74" i="2"/>
  <c r="T47" i="2"/>
  <c r="J79" i="2"/>
  <c r="R46" i="2"/>
  <c r="E78" i="2"/>
  <c r="R42" i="2"/>
  <c r="E74" i="2"/>
  <c r="R44" i="2"/>
  <c r="E76" i="2"/>
  <c r="R43" i="2"/>
  <c r="E75" i="2"/>
  <c r="R47" i="2"/>
  <c r="E79" i="2"/>
  <c r="R48" i="2"/>
  <c r="D78" i="2"/>
  <c r="D79" i="2"/>
  <c r="D77" i="2"/>
  <c r="D75" i="2"/>
  <c r="D76" i="2"/>
  <c r="D74" i="2"/>
</calcChain>
</file>

<file path=xl/sharedStrings.xml><?xml version="1.0" encoding="utf-8"?>
<sst xmlns="http://schemas.openxmlformats.org/spreadsheetml/2006/main" count="765" uniqueCount="133">
  <si>
    <t>150 mg/L</t>
  </si>
  <si>
    <r>
      <t>T (</t>
    </r>
    <r>
      <rPr>
        <b/>
        <sz val="11"/>
        <color theme="1"/>
        <rFont val="Times New Roman"/>
        <family val="1"/>
      </rPr>
      <t>°</t>
    </r>
    <r>
      <rPr>
        <b/>
        <sz val="11"/>
        <color theme="1"/>
        <rFont val="Calibri"/>
        <family val="2"/>
        <scheme val="minor"/>
      </rPr>
      <t>C)</t>
    </r>
  </si>
  <si>
    <t>Abs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</si>
  <si>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(mg/L)</t>
    </r>
  </si>
  <si>
    <r>
      <t>%S</t>
    </r>
    <r>
      <rPr>
        <b/>
        <vertAlign val="subscript"/>
        <sz val="11"/>
        <color theme="1"/>
        <rFont val="Calibri"/>
        <family val="2"/>
        <scheme val="minor"/>
      </rPr>
      <t>Cu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</si>
  <si>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(mg/g)</t>
    </r>
  </si>
  <si>
    <t>pH = 5</t>
  </si>
  <si>
    <t>Jar 1.7</t>
  </si>
  <si>
    <t>Jar 2.2</t>
  </si>
  <si>
    <t>SE</t>
  </si>
  <si>
    <r>
      <t>Avg %S</t>
    </r>
    <r>
      <rPr>
        <b/>
        <vertAlign val="subscript"/>
        <sz val="11"/>
        <color theme="1"/>
        <rFont val="Calibri"/>
        <family val="2"/>
        <scheme val="minor"/>
      </rPr>
      <t>Cu</t>
    </r>
  </si>
  <si>
    <r>
      <t>Avg 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(mg/g)</t>
    </r>
  </si>
  <si>
    <t>Time (min)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</si>
  <si>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(mg/g)</t>
    </r>
  </si>
  <si>
    <r>
      <t xml:space="preserve">T = 30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</si>
  <si>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eq</t>
    </r>
  </si>
  <si>
    <t>Jar pH2.2</t>
  </si>
  <si>
    <t>Jar pH1.7</t>
  </si>
  <si>
    <t>%Removal at 150 mg/L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</si>
  <si>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eq </t>
    </r>
    <r>
      <rPr>
        <sz val="11"/>
        <color theme="1"/>
        <rFont val="Calibri"/>
        <family val="2"/>
        <scheme val="minor"/>
      </rPr>
      <t>= 80 min</t>
    </r>
  </si>
  <si>
    <t>Pseudo-first-order</t>
  </si>
  <si>
    <r>
      <t>ln (q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-q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)</t>
    </r>
  </si>
  <si>
    <r>
      <t>t/q</t>
    </r>
    <r>
      <rPr>
        <b/>
        <vertAlign val="subscript"/>
        <sz val="11"/>
        <color theme="1"/>
        <rFont val="Calibri"/>
        <family val="2"/>
        <scheme val="minor"/>
      </rPr>
      <t>t</t>
    </r>
  </si>
  <si>
    <t>PSO</t>
  </si>
  <si>
    <t>PFO</t>
  </si>
  <si>
    <r>
      <t>Avg 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(mg/g)</t>
    </r>
  </si>
  <si>
    <t>KINETIC MODELS for pH2.2</t>
  </si>
  <si>
    <t>KINETIC MODELS for pH1.7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</si>
  <si>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e,exp</t>
    </r>
    <r>
      <rPr>
        <b/>
        <sz val="11"/>
        <color theme="1"/>
        <rFont val="Calibri"/>
        <family val="2"/>
        <scheme val="minor"/>
      </rPr>
      <t xml:space="preserve"> (mg/g)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</si>
  <si>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e,cal</t>
    </r>
    <r>
      <rPr>
        <b/>
        <sz val="11"/>
        <color theme="1"/>
        <rFont val="Calibri"/>
        <family val="2"/>
        <scheme val="minor"/>
      </rPr>
      <t xml:space="preserve"> (mg/g)</t>
    </r>
  </si>
  <si>
    <r>
      <t>Slope (K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,</t>
    </r>
    <r>
      <rPr>
        <b/>
        <vertAlign val="sub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</si>
  <si>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Intercept (ln 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</si>
  <si>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(mg/g)</t>
    </r>
  </si>
  <si>
    <t>Pseudo-first-order parameters</t>
  </si>
  <si>
    <t>Pseudo-second-order parameters</t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</si>
  <si>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</si>
  <si>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Slope (1/q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, g/mg.min)</t>
    </r>
  </si>
  <si>
    <r>
      <t>Intercept (1/K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</si>
  <si>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(g/mg min)</t>
    </r>
  </si>
  <si>
    <t>Jar</t>
  </si>
  <si>
    <t>pH2.2</t>
  </si>
  <si>
    <t>pH1.7</t>
  </si>
  <si>
    <t>Pseudo-second-order</t>
  </si>
  <si>
    <t>300 mg/L</t>
  </si>
  <si>
    <t>400 mg/L</t>
  </si>
  <si>
    <t>500 mg/L</t>
  </si>
  <si>
    <t>Isotherm models</t>
  </si>
  <si>
    <t>Sorption Parameters</t>
  </si>
  <si>
    <t>Langmuir</t>
  </si>
  <si>
    <t>Freundlich</t>
  </si>
  <si>
    <t>C (mg/L)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</si>
  <si>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(mg/L)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</si>
  <si>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/q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(g/L)</t>
    </r>
  </si>
  <si>
    <r>
      <t>log q</t>
    </r>
    <r>
      <rPr>
        <b/>
        <vertAlign val="subscript"/>
        <sz val="11"/>
        <color theme="1"/>
        <rFont val="Calibri"/>
        <family val="2"/>
        <scheme val="minor"/>
      </rPr>
      <t>e</t>
    </r>
  </si>
  <si>
    <r>
      <t>log C</t>
    </r>
    <r>
      <rPr>
        <b/>
        <vertAlign val="subscript"/>
        <sz val="11"/>
        <color theme="1"/>
        <rFont val="Calibri"/>
        <family val="2"/>
        <scheme val="minor"/>
      </rPr>
      <t>e</t>
    </r>
  </si>
  <si>
    <t>Concentration (mg/L)</t>
  </si>
  <si>
    <t>Avg Ce (mg/L)</t>
  </si>
  <si>
    <t>%Removal at 30 C</t>
  </si>
  <si>
    <t>%Removal at 40 C</t>
  </si>
  <si>
    <t>%Removal at 50 C</t>
  </si>
  <si>
    <t>JarpH2.2</t>
  </si>
  <si>
    <t>JarpH1.7</t>
  </si>
  <si>
    <t>Isotherm models (combined)</t>
  </si>
  <si>
    <t>T (K)</t>
  </si>
  <si>
    <t>Langmuir isotherm parameters</t>
  </si>
  <si>
    <t>Freundlich isotherm parameters</t>
  </si>
  <si>
    <r>
      <t>Slope (1/q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>)</t>
    </r>
  </si>
  <si>
    <r>
      <t>Intercept (1/q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>b)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</si>
  <si>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(mg/g)</t>
    </r>
  </si>
  <si>
    <t>b (L/mg)</t>
  </si>
  <si>
    <r>
      <rPr>
        <b/>
        <i/>
        <sz val="11"/>
        <color theme="1"/>
        <rFont val="Calibri"/>
        <family val="2"/>
        <scheme val="minor"/>
      </rP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</si>
  <si>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Slope (1/</t>
    </r>
    <r>
      <rPr>
        <b/>
        <i/>
        <sz val="11"/>
        <color theme="1"/>
        <rFont val="Calibri"/>
        <family val="2"/>
        <scheme val="minor"/>
      </rPr>
      <t>n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)</t>
    </r>
  </si>
  <si>
    <r>
      <t xml:space="preserve">Intercept (log </t>
    </r>
    <r>
      <rPr>
        <b/>
        <i/>
        <sz val="11"/>
        <color theme="1"/>
        <rFont val="Calibri"/>
        <family val="2"/>
        <scheme val="minor"/>
      </rPr>
      <t>K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)</t>
    </r>
  </si>
  <si>
    <t>n</t>
  </si>
  <si>
    <r>
      <rPr>
        <b/>
        <i/>
        <sz val="11"/>
        <color theme="1"/>
        <rFont val="Calibri"/>
        <family val="2"/>
        <scheme val="minor"/>
      </rPr>
      <t>K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(mg/g)</t>
    </r>
  </si>
  <si>
    <t>at (150 mg/L)</t>
  </si>
  <si>
    <t>1/T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</si>
  <si>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= 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/C</t>
    </r>
    <r>
      <rPr>
        <b/>
        <vertAlign val="subscript"/>
        <sz val="11"/>
        <color theme="1"/>
        <rFont val="Calibri"/>
        <family val="2"/>
        <scheme val="minor"/>
      </rPr>
      <t>e</t>
    </r>
  </si>
  <si>
    <r>
      <t>ln K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</si>
  <si>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Thermodynamic Parameters</t>
  </si>
  <si>
    <t>Slope (-∆H°/R)</t>
  </si>
  <si>
    <t>Intercept (∆S°/R)</t>
  </si>
  <si>
    <r>
      <t>∆H</t>
    </r>
    <r>
      <rPr>
        <b/>
        <sz val="11"/>
        <color theme="1"/>
        <rFont val="Times New Roman"/>
        <family val="1"/>
      </rPr>
      <t>° (kJ/mol)</t>
    </r>
  </si>
  <si>
    <r>
      <t>∆S</t>
    </r>
    <r>
      <rPr>
        <b/>
        <sz val="11"/>
        <color theme="1"/>
        <rFont val="Times New Roman"/>
        <family val="1"/>
      </rPr>
      <t>° (kJ/mol K)</t>
    </r>
  </si>
  <si>
    <t>Data for van't Hoff plot (JarpH2.2)</t>
  </si>
  <si>
    <t>Data for van't Hoff plot (JarpH1.7)</t>
  </si>
  <si>
    <r>
      <t xml:space="preserve">T = 40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</si>
  <si>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 xml:space="preserve">T = 50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</si>
  <si>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t>Time (min)/Temp C</t>
  </si>
  <si>
    <r>
      <t>t/q</t>
    </r>
    <r>
      <rPr>
        <b/>
        <vertAlign val="subscript"/>
        <sz val="11"/>
        <color theme="1"/>
        <rFont val="Calibri"/>
        <family val="2"/>
        <scheme val="minor"/>
      </rPr>
      <t xml:space="preserve">t </t>
    </r>
    <r>
      <rPr>
        <b/>
        <sz val="11"/>
        <color theme="1"/>
        <rFont val="Calibri"/>
        <family val="2"/>
        <scheme val="minor"/>
      </rPr>
      <t>(JarpH2.2)</t>
    </r>
  </si>
  <si>
    <r>
      <t>t/q</t>
    </r>
    <r>
      <rPr>
        <b/>
        <vertAlign val="subscript"/>
        <sz val="11"/>
        <color theme="1"/>
        <rFont val="Calibri"/>
        <family val="2"/>
        <scheme val="minor"/>
      </rPr>
      <t xml:space="preserve">t </t>
    </r>
    <r>
      <rPr>
        <b/>
        <sz val="11"/>
        <color theme="1"/>
        <rFont val="Calibri"/>
        <family val="2"/>
        <scheme val="minor"/>
      </rPr>
      <t>(JarpH1.7)</t>
    </r>
  </si>
  <si>
    <t>Temp C</t>
  </si>
  <si>
    <r>
      <t>Intercept (1/k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</si>
  <si>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(g/mg min)</t>
    </r>
  </si>
  <si>
    <r>
      <t>ln k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</si>
  <si>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Data derived from the linear fit for JarpH2.2</t>
  </si>
  <si>
    <t>Data derived from the linear fit for JarpH1.7</t>
  </si>
  <si>
    <t>Arrhenius plot</t>
  </si>
  <si>
    <t>Slope =</t>
  </si>
  <si>
    <t>-Ea/R</t>
  </si>
  <si>
    <t>Intercept =</t>
  </si>
  <si>
    <t>ln A</t>
  </si>
  <si>
    <t>R (J/mol K) =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</si>
  <si>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</si>
  <si>
    <t>J/mol</t>
  </si>
  <si>
    <t>kJ/mol</t>
  </si>
  <si>
    <t>21.01 kJ/mol</t>
  </si>
  <si>
    <t>23.39 kJ/mol</t>
  </si>
  <si>
    <t>A</t>
  </si>
  <si>
    <t>`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</si>
  <si>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(mg/g)at 30 C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</si>
  <si>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 xml:space="preserve">L </t>
    </r>
    <r>
      <rPr>
        <b/>
        <sz val="11"/>
        <color theme="1"/>
        <rFont val="Calibri"/>
        <family val="2"/>
        <scheme val="minor"/>
      </rPr>
      <t>at 150</t>
    </r>
  </si>
  <si>
    <r>
      <t>∆G</t>
    </r>
    <r>
      <rPr>
        <b/>
        <sz val="11"/>
        <color theme="1"/>
        <rFont val="Times New Roman"/>
        <family val="1"/>
      </rPr>
      <t xml:space="preserve">° (kJ/mol) 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</si>
  <si>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zpc</t>
    </r>
    <r>
      <rPr>
        <b/>
        <sz val="11"/>
        <color theme="1"/>
        <rFont val="Calibri"/>
        <family val="2"/>
        <scheme val="minor"/>
      </rPr>
      <t xml:space="preserve"> of Jarosite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</si>
  <si>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-pH</t>
    </r>
    <r>
      <rPr>
        <b/>
        <vertAlign val="subscript"/>
        <sz val="11"/>
        <color theme="1"/>
        <rFont val="Calibri"/>
        <family val="2"/>
        <scheme val="minor"/>
      </rPr>
      <t>fst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</si>
  <si>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(supernatant)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</si>
  <si>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i</t>
    </r>
    <r>
      <rPr>
        <b/>
        <sz val="11"/>
        <color theme="1"/>
        <rFont val="Calibri"/>
        <family val="2"/>
        <scheme val="minor"/>
      </rPr>
      <t>-pH</t>
    </r>
    <r>
      <rPr>
        <b/>
        <vertAlign val="subscript"/>
        <sz val="11"/>
        <color theme="1"/>
        <rFont val="Calibri"/>
        <family val="2"/>
        <scheme val="minor"/>
      </rPr>
      <t>fsn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</si>
  <si>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(suspension)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</si>
  <si>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i</t>
    </r>
  </si>
  <si>
    <t>Mahmood et al 2011</t>
  </si>
  <si>
    <t>IPD</t>
  </si>
  <si>
    <r>
      <t>t</t>
    </r>
    <r>
      <rPr>
        <b/>
        <vertAlign val="superscript"/>
        <sz val="11"/>
        <color theme="1"/>
        <rFont val="Calibri"/>
        <family val="2"/>
        <scheme val="minor"/>
      </rPr>
      <t>1/2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</si>
  <si>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</si>
  <si>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t>Slope (K</t>
    </r>
    <r>
      <rPr>
        <b/>
        <vertAlign val="subscript"/>
        <sz val="11"/>
        <color theme="1"/>
        <rFont val="Calibri"/>
        <family val="2"/>
        <scheme val="minor"/>
      </rPr>
      <t>int</t>
    </r>
    <r>
      <rPr>
        <b/>
        <sz val="11"/>
        <color theme="1"/>
        <rFont val="Calibri"/>
        <family val="2"/>
        <scheme val="minor"/>
      </rPr>
      <t>, mg/g min</t>
    </r>
    <r>
      <rPr>
        <b/>
        <vertAlign val="superscript"/>
        <sz val="11"/>
        <color theme="1"/>
        <rFont val="Calibri"/>
        <family val="2"/>
        <scheme val="minor"/>
      </rPr>
      <t>0.5</t>
    </r>
    <r>
      <rPr>
        <b/>
        <sz val="11"/>
        <color theme="1"/>
        <rFont val="Calibri"/>
        <family val="2"/>
        <scheme val="minor"/>
      </rPr>
      <t>)</t>
    </r>
  </si>
  <si>
    <t>Intercept (a, mg/g)</t>
  </si>
  <si>
    <t>Intra-particle diffusion parameters</t>
  </si>
  <si>
    <r>
      <t>pH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(1)</t>
    </r>
  </si>
  <si>
    <r>
      <t>pH</t>
    </r>
    <r>
      <rPr>
        <b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(2)</t>
    </r>
  </si>
  <si>
    <t>Average</t>
  </si>
  <si>
    <t>SD</t>
  </si>
  <si>
    <t>pH = 4</t>
  </si>
  <si>
    <t>pH = 1.5</t>
  </si>
  <si>
    <t>pH =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</si>
</sst>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color rgb="FF222222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322">
    <xf numFmtId="0" fontId="0" fillId="0" borderId="0" xfId="0"/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0" fontId="2" fillId="2" borderId="4" xfId="0" applyFont="1" applyFill="1" applyBorder="1" applyAlignment="1">
      <alignment horizontal="center"/>
    </xf>
    <xf numFmtId="0" fontId="0" fillId="2" borderId="8" xfId="0" applyFill="1" applyBorder="1"/>
    <xf numFmtId="0" fontId="0" fillId="2" borderId="10" xfId="0" applyFill="1" applyBorder="1"/>
    <xf numFmtId="0" fontId="2" fillId="2" borderId="9" xfId="0" applyFont="1" applyFill="1" applyBorder="1" applyAlignment="1">
      <alignment horizontal="center"/>
    </xf>
    <xf numFmtId="0" fontId="0" fillId="0" borderId="0" xfId="0" applyBorder="1"/>
    <xf numFmtId="0" fontId="0" fillId="2" borderId="3" xfId="0" applyFill="1" applyBorder="1" applyAlignment="1">
      <alignment horizontal="center"/>
    </xf>
    <xf numFmtId="0" fontId="0" fillId="2" borderId="9" xfId="0" applyFill="1" applyBorder="1"/>
    <xf numFmtId="0" fontId="0" fillId="2" borderId="9" xfId="0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0" fillId="3" borderId="0" xfId="0" applyFill="1"/>
    <xf numFmtId="0" fontId="2" fillId="4" borderId="9" xfId="0" applyFont="1" applyFill="1" applyBorder="1" applyAlignment="1">
      <alignment horizontal="center"/>
    </xf>
    <xf numFmtId="0" fontId="0" fillId="4" borderId="0" xfId="0" applyFill="1"/>
    <xf numFmtId="0" fontId="0" fillId="3" borderId="9" xfId="0" applyFill="1" applyBorder="1"/>
    <xf numFmtId="0" fontId="1" fillId="3" borderId="9" xfId="1" applyFont="1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0" borderId="0" xfId="0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4" borderId="4" xfId="0" applyFill="1" applyBorder="1"/>
    <xf numFmtId="0" fontId="2" fillId="4" borderId="4" xfId="0" applyFont="1" applyFill="1" applyBorder="1"/>
    <xf numFmtId="0" fontId="0" fillId="4" borderId="10" xfId="0" applyFill="1" applyBorder="1"/>
    <xf numFmtId="0" fontId="0" fillId="4" borderId="9" xfId="0" applyFill="1" applyBorder="1"/>
    <xf numFmtId="0" fontId="0" fillId="4" borderId="9" xfId="0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3" xfId="0" applyFill="1" applyBorder="1"/>
    <xf numFmtId="0" fontId="0" fillId="4" borderId="11" xfId="0" applyFill="1" applyBorder="1"/>
    <xf numFmtId="0" fontId="2" fillId="7" borderId="9" xfId="0" applyFont="1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9" xfId="0" applyFill="1" applyBorder="1"/>
    <xf numFmtId="0" fontId="0" fillId="9" borderId="0" xfId="0" applyFill="1" applyBorder="1" applyAlignment="1">
      <alignment horizontal="center"/>
    </xf>
    <xf numFmtId="0" fontId="2" fillId="10" borderId="9" xfId="0" applyFont="1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12" borderId="9" xfId="0" applyFont="1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2" fillId="8" borderId="9" xfId="0" applyFont="1" applyFill="1" applyBorder="1" applyAlignment="1">
      <alignment horizontal="center"/>
    </xf>
    <xf numFmtId="0" fontId="2" fillId="13" borderId="9" xfId="0" applyFont="1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2" fillId="0" borderId="0" xfId="0" applyFont="1"/>
    <xf numFmtId="0" fontId="2" fillId="8" borderId="1" xfId="0" applyFont="1" applyFill="1" applyBorder="1" applyAlignment="1">
      <alignment horizontal="center"/>
    </xf>
    <xf numFmtId="0" fontId="0" fillId="8" borderId="10" xfId="0" applyFill="1" applyBorder="1"/>
    <xf numFmtId="0" fontId="2" fillId="9" borderId="8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8" borderId="13" xfId="0" applyFill="1" applyBorder="1" applyAlignment="1">
      <alignment horizontal="center"/>
    </xf>
    <xf numFmtId="0" fontId="0" fillId="8" borderId="11" xfId="0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0" fillId="13" borderId="8" xfId="0" applyFill="1" applyBorder="1"/>
    <xf numFmtId="0" fontId="0" fillId="13" borderId="9" xfId="0" applyFill="1" applyBorder="1"/>
    <xf numFmtId="0" fontId="2" fillId="13" borderId="4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0" fillId="13" borderId="4" xfId="0" applyFill="1" applyBorder="1"/>
    <xf numFmtId="0" fontId="0" fillId="13" borderId="3" xfId="0" applyFill="1" applyBorder="1" applyAlignment="1">
      <alignment horizontal="center"/>
    </xf>
    <xf numFmtId="0" fontId="0" fillId="13" borderId="10" xfId="0" applyFill="1" applyBorder="1"/>
    <xf numFmtId="0" fontId="0" fillId="8" borderId="9" xfId="0" applyFill="1" applyBorder="1"/>
    <xf numFmtId="0" fontId="0" fillId="2" borderId="0" xfId="0" applyFill="1"/>
    <xf numFmtId="0" fontId="0" fillId="6" borderId="8" xfId="0" applyFill="1" applyBorder="1"/>
    <xf numFmtId="0" fontId="0" fillId="6" borderId="9" xfId="0" applyFill="1" applyBorder="1"/>
    <xf numFmtId="0" fontId="2" fillId="6" borderId="9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0" fillId="6" borderId="4" xfId="0" applyFill="1" applyBorder="1"/>
    <xf numFmtId="0" fontId="0" fillId="6" borderId="9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10" xfId="0" applyFill="1" applyBorder="1"/>
    <xf numFmtId="0" fontId="0" fillId="8" borderId="8" xfId="0" applyFill="1" applyBorder="1"/>
    <xf numFmtId="0" fontId="2" fillId="8" borderId="4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0" fillId="8" borderId="4" xfId="0" applyFill="1" applyBorder="1"/>
    <xf numFmtId="0" fontId="0" fillId="8" borderId="9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2" fillId="10" borderId="8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3" borderId="1" xfId="0" applyFont="1" applyFill="1" applyBorder="1" applyAlignment="1">
      <alignment horizontal="center"/>
    </xf>
    <xf numFmtId="0" fontId="0" fillId="13" borderId="0" xfId="0" applyFill="1"/>
    <xf numFmtId="0" fontId="2" fillId="13" borderId="4" xfId="0" applyFont="1" applyFill="1" applyBorder="1"/>
    <xf numFmtId="0" fontId="0" fillId="14" borderId="9" xfId="0" applyFill="1" applyBorder="1"/>
    <xf numFmtId="0" fontId="2" fillId="14" borderId="9" xfId="0" applyFont="1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0" fillId="14" borderId="0" xfId="0" applyFill="1"/>
    <xf numFmtId="0" fontId="0" fillId="10" borderId="0" xfId="0" applyFill="1"/>
    <xf numFmtId="0" fontId="0" fillId="10" borderId="12" xfId="0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0" fillId="9" borderId="4" xfId="0" applyFill="1" applyBorder="1"/>
    <xf numFmtId="0" fontId="0" fillId="9" borderId="10" xfId="0" applyFill="1" applyBorder="1"/>
    <xf numFmtId="0" fontId="2" fillId="2" borderId="1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0" xfId="0" applyFont="1" applyFill="1" applyAlignment="1">
      <alignment horizontal="center"/>
    </xf>
    <xf numFmtId="0" fontId="2" fillId="14" borderId="4" xfId="0" applyFont="1" applyFill="1" applyBorder="1" applyAlignment="1">
      <alignment horizontal="center"/>
    </xf>
    <xf numFmtId="0" fontId="2" fillId="14" borderId="5" xfId="0" applyFont="1" applyFill="1" applyBorder="1" applyAlignment="1">
      <alignment horizontal="center"/>
    </xf>
    <xf numFmtId="0" fontId="2" fillId="10" borderId="4" xfId="0" applyFont="1" applyFill="1" applyBorder="1" applyAlignment="1">
      <alignment horizontal="center"/>
    </xf>
    <xf numFmtId="0" fontId="2" fillId="10" borderId="5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 vertical="center"/>
    </xf>
    <xf numFmtId="0" fontId="0" fillId="8" borderId="14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14" borderId="15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2" fillId="8" borderId="11" xfId="0" applyFont="1" applyFill="1" applyBorder="1" applyAlignment="1">
      <alignment horizontal="center" vertical="center"/>
    </xf>
    <xf numFmtId="0" fontId="0" fillId="8" borderId="0" xfId="0" applyFill="1" applyBorder="1" applyAlignment="1">
      <alignment horizontal="center"/>
    </xf>
    <xf numFmtId="0" fontId="0" fillId="14" borderId="4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2" fillId="8" borderId="12" xfId="0" applyFont="1" applyFill="1" applyBorder="1" applyAlignment="1">
      <alignment horizontal="center" vertical="center"/>
    </xf>
    <xf numFmtId="0" fontId="0" fillId="8" borderId="6" xfId="0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0" fontId="0" fillId="14" borderId="7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2" fillId="14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17" borderId="1" xfId="0" applyFont="1" applyFill="1" applyBorder="1" applyAlignment="1">
      <alignment horizontal="center"/>
    </xf>
    <xf numFmtId="0" fontId="2" fillId="17" borderId="2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17" borderId="4" xfId="0" applyFill="1" applyBorder="1"/>
    <xf numFmtId="0" fontId="0" fillId="17" borderId="0" xfId="0" applyFill="1" applyBorder="1" applyAlignment="1">
      <alignment horizontal="center"/>
    </xf>
    <xf numFmtId="0" fontId="0" fillId="17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17" borderId="6" xfId="0" applyFill="1" applyBorder="1" applyAlignment="1">
      <alignment horizontal="center"/>
    </xf>
    <xf numFmtId="0" fontId="0" fillId="17" borderId="7" xfId="0" applyFill="1" applyBorder="1" applyAlignment="1">
      <alignment horizontal="center"/>
    </xf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5" borderId="4" xfId="0" applyFill="1" applyBorder="1"/>
    <xf numFmtId="0" fontId="0" fillId="5" borderId="0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0" xfId="0" applyFill="1" applyBorder="1"/>
    <xf numFmtId="0" fontId="0" fillId="18" borderId="0" xfId="0" applyFill="1"/>
    <xf numFmtId="0" fontId="2" fillId="2" borderId="14" xfId="0" applyFont="1" applyFill="1" applyBorder="1" applyAlignment="1">
      <alignment horizontal="center"/>
    </xf>
    <xf numFmtId="0" fontId="2" fillId="14" borderId="2" xfId="0" applyFont="1" applyFill="1" applyBorder="1" applyAlignment="1">
      <alignment horizontal="center"/>
    </xf>
    <xf numFmtId="0" fontId="2" fillId="15" borderId="8" xfId="0" applyFont="1" applyFill="1" applyBorder="1" applyAlignment="1">
      <alignment horizontal="center"/>
    </xf>
    <xf numFmtId="0" fontId="2" fillId="15" borderId="2" xfId="0" applyFont="1" applyFill="1" applyBorder="1" applyAlignment="1">
      <alignment horizontal="center"/>
    </xf>
    <xf numFmtId="0" fontId="2" fillId="15" borderId="3" xfId="0" applyFont="1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3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2" borderId="0" xfId="0" applyFill="1" applyBorder="1"/>
    <xf numFmtId="0" fontId="0" fillId="3" borderId="5" xfId="0" applyFill="1" applyBorder="1"/>
    <xf numFmtId="0" fontId="0" fillId="17" borderId="5" xfId="0" applyFill="1" applyBorder="1"/>
    <xf numFmtId="0" fontId="0" fillId="17" borderId="0" xfId="0" applyFill="1" applyBorder="1"/>
    <xf numFmtId="0" fontId="0" fillId="2" borderId="5" xfId="0" applyFill="1" applyBorder="1"/>
    <xf numFmtId="0" fontId="0" fillId="9" borderId="5" xfId="0" applyFill="1" applyBorder="1"/>
    <xf numFmtId="0" fontId="0" fillId="9" borderId="0" xfId="0" applyFill="1" applyBorder="1"/>
    <xf numFmtId="0" fontId="0" fillId="5" borderId="5" xfId="0" applyFill="1" applyBorder="1"/>
    <xf numFmtId="0" fontId="0" fillId="5" borderId="0" xfId="0" applyFill="1" applyBorder="1"/>
    <xf numFmtId="0" fontId="0" fillId="17" borderId="4" xfId="0" applyFill="1" applyBorder="1" applyAlignment="1">
      <alignment horizontal="center"/>
    </xf>
    <xf numFmtId="0" fontId="0" fillId="17" borderId="14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2" fillId="17" borderId="14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2" fillId="9" borderId="14" xfId="0" applyFont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7" xfId="0" applyFill="1" applyBorder="1"/>
    <xf numFmtId="0" fontId="0" fillId="17" borderId="7" xfId="0" applyFill="1" applyBorder="1"/>
    <xf numFmtId="0" fontId="0" fillId="9" borderId="7" xfId="0" applyFill="1" applyBorder="1"/>
    <xf numFmtId="0" fontId="0" fillId="5" borderId="14" xfId="0" applyFill="1" applyBorder="1" applyAlignment="1">
      <alignment horizontal="center"/>
    </xf>
    <xf numFmtId="0" fontId="0" fillId="5" borderId="7" xfId="0" applyFill="1" applyBorder="1"/>
    <xf numFmtId="0" fontId="2" fillId="0" borderId="0" xfId="0" applyFont="1" applyFill="1" applyBorder="1" applyAlignment="1"/>
    <xf numFmtId="0" fontId="2" fillId="8" borderId="8" xfId="0" applyFont="1" applyFill="1" applyBorder="1" applyAlignment="1"/>
    <xf numFmtId="0" fontId="2" fillId="14" borderId="8" xfId="0" applyFont="1" applyFill="1" applyBorder="1" applyAlignment="1"/>
    <xf numFmtId="0" fontId="2" fillId="14" borderId="3" xfId="0" applyFont="1" applyFill="1" applyBorder="1" applyAlignment="1"/>
    <xf numFmtId="0" fontId="2" fillId="8" borderId="1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/>
    </xf>
    <xf numFmtId="0" fontId="2" fillId="8" borderId="9" xfId="0" applyFont="1" applyFill="1" applyBorder="1" applyAlignment="1"/>
    <xf numFmtId="0" fontId="2" fillId="14" borderId="9" xfId="0" applyFont="1" applyFill="1" applyBorder="1" applyAlignment="1"/>
    <xf numFmtId="0" fontId="2" fillId="10" borderId="3" xfId="0" applyFont="1" applyFill="1" applyBorder="1" applyAlignment="1"/>
    <xf numFmtId="0" fontId="2" fillId="8" borderId="10" xfId="0" applyFont="1" applyFill="1" applyBorder="1" applyAlignment="1">
      <alignment horizontal="center"/>
    </xf>
    <xf numFmtId="0" fontId="2" fillId="10" borderId="9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2" fillId="14" borderId="6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0" fillId="14" borderId="2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2" fillId="8" borderId="9" xfId="0" applyFont="1" applyFill="1" applyBorder="1"/>
    <xf numFmtId="0" fontId="0" fillId="10" borderId="5" xfId="0" applyFill="1" applyBorder="1"/>
    <xf numFmtId="0" fontId="0" fillId="15" borderId="4" xfId="0" applyFill="1" applyBorder="1" applyAlignment="1">
      <alignment horizontal="center"/>
    </xf>
    <xf numFmtId="0" fontId="0" fillId="10" borderId="7" xfId="0" applyFill="1" applyBorder="1"/>
    <xf numFmtId="0" fontId="0" fillId="15" borderId="10" xfId="0" applyFill="1" applyBorder="1" applyAlignment="1">
      <alignment horizontal="center"/>
    </xf>
    <xf numFmtId="0" fontId="12" fillId="8" borderId="9" xfId="0" applyFont="1" applyFill="1" applyBorder="1" applyAlignment="1">
      <alignment horizontal="center"/>
    </xf>
    <xf numFmtId="0" fontId="12" fillId="14" borderId="2" xfId="0" applyFont="1" applyFill="1" applyBorder="1" applyAlignment="1">
      <alignment horizontal="center"/>
    </xf>
    <xf numFmtId="0" fontId="0" fillId="8" borderId="0" xfId="0" applyFill="1"/>
    <xf numFmtId="0" fontId="0" fillId="10" borderId="13" xfId="0" applyFill="1" applyBorder="1" applyAlignment="1">
      <alignment horizontal="center"/>
    </xf>
    <xf numFmtId="0" fontId="0" fillId="14" borderId="13" xfId="0" applyFill="1" applyBorder="1" applyAlignment="1">
      <alignment horizontal="center"/>
    </xf>
    <xf numFmtId="0" fontId="0" fillId="13" borderId="13" xfId="0" applyFill="1" applyBorder="1" applyAlignment="1">
      <alignment horizontal="center"/>
    </xf>
    <xf numFmtId="0" fontId="2" fillId="15" borderId="0" xfId="0" applyFont="1" applyFill="1" applyBorder="1" applyAlignment="1">
      <alignment horizontal="center"/>
    </xf>
    <xf numFmtId="0" fontId="0" fillId="15" borderId="0" xfId="0" applyFill="1" applyBorder="1" applyAlignment="1">
      <alignment horizontal="center"/>
    </xf>
    <xf numFmtId="0" fontId="0" fillId="0" borderId="0" xfId="0" applyFill="1" applyBorder="1" applyAlignment="1"/>
    <xf numFmtId="0" fontId="0" fillId="20" borderId="9" xfId="0" applyFill="1" applyBorder="1"/>
    <xf numFmtId="0" fontId="2" fillId="20" borderId="9" xfId="0" applyFont="1" applyFill="1" applyBorder="1" applyAlignment="1">
      <alignment horizontal="center"/>
    </xf>
    <xf numFmtId="0" fontId="2" fillId="20" borderId="1" xfId="0" applyFont="1" applyFill="1" applyBorder="1" applyAlignment="1">
      <alignment horizontal="center"/>
    </xf>
    <xf numFmtId="0" fontId="0" fillId="20" borderId="4" xfId="0" applyFill="1" applyBorder="1"/>
    <xf numFmtId="0" fontId="0" fillId="20" borderId="9" xfId="0" applyFill="1" applyBorder="1" applyAlignment="1">
      <alignment horizontal="center"/>
    </xf>
    <xf numFmtId="0" fontId="0" fillId="20" borderId="0" xfId="0" applyFill="1"/>
    <xf numFmtId="0" fontId="2" fillId="20" borderId="4" xfId="0" applyFont="1" applyFill="1" applyBorder="1"/>
    <xf numFmtId="0" fontId="0" fillId="20" borderId="10" xfId="0" applyFill="1" applyBorder="1"/>
    <xf numFmtId="0" fontId="0" fillId="15" borderId="9" xfId="0" applyFill="1" applyBorder="1" applyAlignment="1">
      <alignment horizontal="center"/>
    </xf>
    <xf numFmtId="0" fontId="0" fillId="15" borderId="5" xfId="0" applyFill="1" applyBorder="1" applyAlignment="1">
      <alignment horizontal="center"/>
    </xf>
    <xf numFmtId="0" fontId="0" fillId="15" borderId="6" xfId="0" applyFill="1" applyBorder="1" applyAlignment="1">
      <alignment horizontal="center"/>
    </xf>
    <xf numFmtId="0" fontId="2" fillId="15" borderId="6" xfId="0" applyFont="1" applyFill="1" applyBorder="1" applyAlignment="1">
      <alignment horizontal="center"/>
    </xf>
    <xf numFmtId="0" fontId="0" fillId="15" borderId="7" xfId="0" applyFill="1" applyBorder="1" applyAlignment="1">
      <alignment horizontal="center"/>
    </xf>
    <xf numFmtId="0" fontId="2" fillId="0" borderId="0" xfId="0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left"/>
    </xf>
    <xf numFmtId="0" fontId="13" fillId="0" borderId="0" xfId="0" applyFont="1"/>
    <xf numFmtId="0" fontId="2" fillId="9" borderId="9" xfId="0" applyFont="1" applyFill="1" applyBorder="1" applyAlignment="1">
      <alignment horizontal="center"/>
    </xf>
    <xf numFmtId="0" fontId="14" fillId="0" borderId="0" xfId="0" applyFont="1"/>
    <xf numFmtId="0" fontId="2" fillId="0" borderId="0" xfId="0" applyFont="1" applyAlignment="1">
      <alignment horizontal="left"/>
    </xf>
    <xf numFmtId="14" fontId="0" fillId="0" borderId="0" xfId="0" applyNumberFormat="1"/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10" borderId="9" xfId="0" applyFill="1" applyBorder="1"/>
    <xf numFmtId="0" fontId="0" fillId="0" borderId="0" xfId="0" applyFill="1"/>
    <xf numFmtId="0" fontId="2" fillId="9" borderId="8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44" fontId="2" fillId="6" borderId="8" xfId="2" applyFont="1" applyFill="1" applyBorder="1" applyAlignment="1">
      <alignment horizontal="center"/>
    </xf>
    <xf numFmtId="44" fontId="2" fillId="6" borderId="3" xfId="2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12" borderId="8" xfId="0" applyFont="1" applyFill="1" applyBorder="1" applyAlignment="1">
      <alignment horizontal="center"/>
    </xf>
    <xf numFmtId="0" fontId="2" fillId="12" borderId="2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0" borderId="8" xfId="0" applyFont="1" applyFill="1" applyBorder="1" applyAlignment="1">
      <alignment horizontal="center"/>
    </xf>
    <xf numFmtId="0" fontId="2" fillId="10" borderId="2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2" fillId="11" borderId="8" xfId="0" applyFont="1" applyFill="1" applyBorder="1" applyAlignment="1">
      <alignment horizontal="center"/>
    </xf>
    <xf numFmtId="0" fontId="2" fillId="11" borderId="2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2" fillId="13" borderId="8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2" fillId="14" borderId="9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center"/>
    </xf>
    <xf numFmtId="0" fontId="2" fillId="14" borderId="8" xfId="0" applyFont="1" applyFill="1" applyBorder="1" applyAlignment="1">
      <alignment horizontal="center"/>
    </xf>
    <xf numFmtId="0" fontId="2" fillId="14" borderId="2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/>
    </xf>
    <xf numFmtId="0" fontId="2" fillId="10" borderId="15" xfId="0" applyFont="1" applyFill="1" applyBorder="1" applyAlignment="1">
      <alignment horizontal="center"/>
    </xf>
    <xf numFmtId="0" fontId="2" fillId="19" borderId="8" xfId="0" applyFont="1" applyFill="1" applyBorder="1" applyAlignment="1">
      <alignment horizontal="center"/>
    </xf>
    <xf numFmtId="0" fontId="2" fillId="19" borderId="2" xfId="0" applyFont="1" applyFill="1" applyBorder="1" applyAlignment="1">
      <alignment horizontal="center"/>
    </xf>
    <xf numFmtId="0" fontId="2" fillId="19" borderId="3" xfId="0" applyFont="1" applyFill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12" fillId="13" borderId="8" xfId="0" applyFont="1" applyFill="1" applyBorder="1" applyAlignment="1">
      <alignment horizontal="center"/>
    </xf>
    <xf numFmtId="0" fontId="12" fillId="13" borderId="2" xfId="0" applyFont="1" applyFill="1" applyBorder="1" applyAlignment="1">
      <alignment horizontal="center"/>
    </xf>
    <xf numFmtId="0" fontId="12" fillId="13" borderId="3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 vertical="center"/>
    </xf>
    <xf numFmtId="0" fontId="2" fillId="10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14" borderId="10" xfId="0" applyFont="1" applyFill="1" applyBorder="1" applyAlignment="1">
      <alignment horizontal="center"/>
    </xf>
    <xf numFmtId="0" fontId="2" fillId="14" borderId="6" xfId="0" applyFont="1" applyFill="1" applyBorder="1" applyAlignment="1">
      <alignment horizontal="center"/>
    </xf>
    <xf numFmtId="0" fontId="2" fillId="14" borderId="7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2" fillId="8" borderId="6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10" borderId="10" xfId="0" applyFont="1" applyFill="1" applyBorder="1" applyAlignment="1">
      <alignment horizontal="center"/>
    </xf>
    <xf numFmtId="0" fontId="2" fillId="10" borderId="6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9" fillId="16" borderId="8" xfId="0" applyFont="1" applyFill="1" applyBorder="1" applyAlignment="1">
      <alignment horizontal="center"/>
    </xf>
    <xf numFmtId="0" fontId="9" fillId="16" borderId="2" xfId="0" applyFont="1" applyFill="1" applyBorder="1" applyAlignment="1">
      <alignment horizontal="center"/>
    </xf>
    <xf numFmtId="0" fontId="9" fillId="16" borderId="3" xfId="0" applyFont="1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2" fillId="15" borderId="8" xfId="0" applyFont="1" applyFill="1" applyBorder="1" applyAlignment="1">
      <alignment horizontal="center"/>
    </xf>
    <xf numFmtId="0" fontId="2" fillId="15" borderId="2" xfId="0" applyFont="1" applyFill="1" applyBorder="1" applyAlignment="1">
      <alignment horizontal="center"/>
    </xf>
    <xf numFmtId="0" fontId="2" fillId="15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3">
    <cellStyle name="Currency" xfId="2" builtinId="4"/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Kinetics!$D$40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Kinetics!$E$41:$E$48</c:f>
                <c:numCache>
                  <c:formatCode>General</c:formatCode>
                  <c:ptCount val="8"/>
                  <c:pt idx="0">
                    <c:v>2.1994295969128648</c:v>
                  </c:pt>
                  <c:pt idx="1">
                    <c:v>1.4547859349066061</c:v>
                  </c:pt>
                  <c:pt idx="2">
                    <c:v>2.5197631533948472</c:v>
                  </c:pt>
                  <c:pt idx="3">
                    <c:v>2.1994295969128563</c:v>
                  </c:pt>
                  <c:pt idx="4">
                    <c:v>1.4547859349066248</c:v>
                  </c:pt>
                  <c:pt idx="5">
                    <c:v>1.454785934906617</c:v>
                  </c:pt>
                  <c:pt idx="6">
                    <c:v>1.0997147984564262</c:v>
                  </c:pt>
                  <c:pt idx="7">
                    <c:v>1.0997147984564262</c:v>
                  </c:pt>
                </c:numCache>
              </c:numRef>
            </c:plus>
            <c:minus>
              <c:numRef>
                <c:f>Kinetics!$E$41:$E$48</c:f>
                <c:numCache>
                  <c:formatCode>General</c:formatCode>
                  <c:ptCount val="8"/>
                  <c:pt idx="0">
                    <c:v>2.1994295969128648</c:v>
                  </c:pt>
                  <c:pt idx="1">
                    <c:v>1.4547859349066061</c:v>
                  </c:pt>
                  <c:pt idx="2">
                    <c:v>2.5197631533948472</c:v>
                  </c:pt>
                  <c:pt idx="3">
                    <c:v>2.1994295969128563</c:v>
                  </c:pt>
                  <c:pt idx="4">
                    <c:v>1.4547859349066248</c:v>
                  </c:pt>
                  <c:pt idx="5">
                    <c:v>1.454785934906617</c:v>
                  </c:pt>
                  <c:pt idx="6">
                    <c:v>1.0997147984564262</c:v>
                  </c:pt>
                  <c:pt idx="7">
                    <c:v>1.0997147984564262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Kinetics!$C$41:$C$48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80</c:v>
                </c:pt>
                <c:pt idx="7">
                  <c:v>120</c:v>
                </c:pt>
              </c:numCache>
            </c:numRef>
          </c:cat>
          <c:val>
            <c:numRef>
              <c:f>Kinetics!$D$41:$D$48</c:f>
              <c:numCache>
                <c:formatCode>General</c:formatCode>
                <c:ptCount val="8"/>
                <c:pt idx="0">
                  <c:v>37.968253968253968</c:v>
                </c:pt>
                <c:pt idx="1">
                  <c:v>43.682539682539677</c:v>
                </c:pt>
                <c:pt idx="2">
                  <c:v>49.714285714285715</c:v>
                </c:pt>
                <c:pt idx="3">
                  <c:v>56.06349206349207</c:v>
                </c:pt>
                <c:pt idx="4">
                  <c:v>66.222222222222229</c:v>
                </c:pt>
                <c:pt idx="5">
                  <c:v>68.444444444444443</c:v>
                </c:pt>
                <c:pt idx="6">
                  <c:v>69.07936507936509</c:v>
                </c:pt>
                <c:pt idx="7">
                  <c:v>69.07936507936509</c:v>
                </c:pt>
              </c:numCache>
            </c:numRef>
          </c:val>
        </c:ser>
        <c:ser>
          <c:idx val="1"/>
          <c:order val="1"/>
          <c:tx>
            <c:strRef>
              <c:f>Kinetics!$F$40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Kinetics!$G$41:$G$48</c:f>
                <c:numCache>
                  <c:formatCode>General</c:formatCode>
                  <c:ptCount val="8"/>
                  <c:pt idx="0">
                    <c:v>1.0997147984564302</c:v>
                  </c:pt>
                  <c:pt idx="1">
                    <c:v>1.4547859349066139</c:v>
                  </c:pt>
                  <c:pt idx="2">
                    <c:v>0.95238095238094189</c:v>
                  </c:pt>
                  <c:pt idx="3">
                    <c:v>1.9047619047619084</c:v>
                  </c:pt>
                  <c:pt idx="4">
                    <c:v>2.9095718698132327</c:v>
                  </c:pt>
                  <c:pt idx="5">
                    <c:v>0.54985739922821719</c:v>
                  </c:pt>
                  <c:pt idx="6">
                    <c:v>0.9523809523809561</c:v>
                  </c:pt>
                  <c:pt idx="7">
                    <c:v>0.9523809523809561</c:v>
                  </c:pt>
                </c:numCache>
              </c:numRef>
            </c:plus>
            <c:minus>
              <c:numRef>
                <c:f>Kinetics!$G$41:$G$48</c:f>
                <c:numCache>
                  <c:formatCode>General</c:formatCode>
                  <c:ptCount val="8"/>
                  <c:pt idx="0">
                    <c:v>1.0997147984564302</c:v>
                  </c:pt>
                  <c:pt idx="1">
                    <c:v>1.4547859349066139</c:v>
                  </c:pt>
                  <c:pt idx="2">
                    <c:v>0.95238095238094189</c:v>
                  </c:pt>
                  <c:pt idx="3">
                    <c:v>1.9047619047619084</c:v>
                  </c:pt>
                  <c:pt idx="4">
                    <c:v>2.9095718698132327</c:v>
                  </c:pt>
                  <c:pt idx="5">
                    <c:v>0.54985739922821719</c:v>
                  </c:pt>
                  <c:pt idx="6">
                    <c:v>0.9523809523809561</c:v>
                  </c:pt>
                  <c:pt idx="7">
                    <c:v>0.9523809523809561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Kinetics!$C$41:$C$48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80</c:v>
                </c:pt>
                <c:pt idx="7">
                  <c:v>120</c:v>
                </c:pt>
              </c:numCache>
            </c:numRef>
          </c:cat>
          <c:val>
            <c:numRef>
              <c:f>Kinetics!$F$41:$F$48</c:f>
              <c:numCache>
                <c:formatCode>General</c:formatCode>
                <c:ptCount val="8"/>
                <c:pt idx="0">
                  <c:v>34.158730158730151</c:v>
                </c:pt>
                <c:pt idx="1">
                  <c:v>38.603174603174608</c:v>
                </c:pt>
                <c:pt idx="2">
                  <c:v>43.047619047619037</c:v>
                </c:pt>
                <c:pt idx="3">
                  <c:v>48.761904761904759</c:v>
                </c:pt>
                <c:pt idx="4">
                  <c:v>58.603174603174608</c:v>
                </c:pt>
                <c:pt idx="5">
                  <c:v>63.682539682539677</c:v>
                </c:pt>
                <c:pt idx="6">
                  <c:v>65.904761904761912</c:v>
                </c:pt>
                <c:pt idx="7">
                  <c:v>65.904761904761912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1298480080"/>
        <c:axId val="1298475728"/>
      </c:barChart>
      <c:catAx>
        <c:axId val="12984800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Contact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75728"/>
        <c:crosses val="autoZero"/>
        <c:auto val="1"/>
        <c:lblAlgn val="ctr"/>
        <c:lblOffset val="100"/>
        <c:noMultiLvlLbl val="0"/>
      </c:catAx>
      <c:valAx>
        <c:axId val="12984757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80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Jar pH2.2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Sheet3!$I$36:$I$39</c:f>
                <c:numCache>
                  <c:formatCode>General</c:formatCode>
                  <c:ptCount val="4"/>
                  <c:pt idx="0">
                    <c:v>8.247860988423196E-2</c:v>
                  </c:pt>
                  <c:pt idx="1">
                    <c:v>0.21821789023599256</c:v>
                  </c:pt>
                  <c:pt idx="2">
                    <c:v>0.10910894511799678</c:v>
                  </c:pt>
                  <c:pt idx="3">
                    <c:v>0.10910894511799581</c:v>
                  </c:pt>
                </c:numCache>
              </c:numRef>
            </c:plus>
            <c:minus>
              <c:numRef>
                <c:f>Sheet3!$I$36:$I$39</c:f>
                <c:numCache>
                  <c:formatCode>General</c:formatCode>
                  <c:ptCount val="4"/>
                  <c:pt idx="0">
                    <c:v>8.247860988423196E-2</c:v>
                  </c:pt>
                  <c:pt idx="1">
                    <c:v>0.21821789023599256</c:v>
                  </c:pt>
                  <c:pt idx="2">
                    <c:v>0.10910894511799678</c:v>
                  </c:pt>
                  <c:pt idx="3">
                    <c:v>0.10910894511799581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xVal>
          <c:yVal>
            <c:numRef>
              <c:f>Sheet3!$H$36:$H$39</c:f>
              <c:numCache>
                <c:formatCode>General</c:formatCode>
                <c:ptCount val="4"/>
                <c:pt idx="0">
                  <c:v>5.1809523809523812</c:v>
                </c:pt>
                <c:pt idx="1">
                  <c:v>9.6095238095238109</c:v>
                </c:pt>
                <c:pt idx="2">
                  <c:v>12.038095238095238</c:v>
                </c:pt>
                <c:pt idx="3">
                  <c:v>12.133333333333333</c:v>
                </c:pt>
              </c:numCache>
            </c:numRef>
          </c:yVal>
          <c:smooth val="0"/>
        </c:ser>
        <c:ser>
          <c:idx val="1"/>
          <c:order val="1"/>
          <c:tx>
            <c:v>Jar pH1.7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Sheet3!$K$36:$K$39</c:f>
                <c:numCache>
                  <c:formatCode>General</c:formatCode>
                  <c:ptCount val="4"/>
                  <c:pt idx="0">
                    <c:v>7.1428571428571619E-2</c:v>
                  </c:pt>
                  <c:pt idx="1">
                    <c:v>0.1889822365046136</c:v>
                  </c:pt>
                  <c:pt idx="2">
                    <c:v>0.2886751345948117</c:v>
                  </c:pt>
                  <c:pt idx="3">
                    <c:v>0.21821789023599256</c:v>
                  </c:pt>
                </c:numCache>
              </c:numRef>
            </c:plus>
            <c:minus>
              <c:numRef>
                <c:f>Sheet3!$K$36:$K$39</c:f>
                <c:numCache>
                  <c:formatCode>General</c:formatCode>
                  <c:ptCount val="4"/>
                  <c:pt idx="0">
                    <c:v>7.1428571428571619E-2</c:v>
                  </c:pt>
                  <c:pt idx="1">
                    <c:v>0.1889822365046136</c:v>
                  </c:pt>
                  <c:pt idx="2">
                    <c:v>0.2886751345948117</c:v>
                  </c:pt>
                  <c:pt idx="3">
                    <c:v>0.21821789023599256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xVal>
          <c:yVal>
            <c:numRef>
              <c:f>Sheet3!$J$36:$J$39</c:f>
              <c:numCache>
                <c:formatCode>General</c:formatCode>
                <c:ptCount val="4"/>
                <c:pt idx="0">
                  <c:v>4.9428571428571431</c:v>
                </c:pt>
                <c:pt idx="1">
                  <c:v>8.2999999999999989</c:v>
                </c:pt>
                <c:pt idx="2">
                  <c:v>10.419047619047619</c:v>
                </c:pt>
                <c:pt idx="3">
                  <c:v>10.180952380952384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246192"/>
        <c:axId val="1416246736"/>
      </c:scatterChart>
      <c:valAx>
        <c:axId val="1416246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</a:t>
                </a:r>
                <a:r>
                  <a:rPr lang="en-GB" baseline="-25000">
                    <a:solidFill>
                      <a:schemeClr val="tx1"/>
                    </a:solidFill>
                  </a:rPr>
                  <a:t>o</a:t>
                </a:r>
                <a:r>
                  <a:rPr lang="en-GB" baseline="0">
                    <a:solidFill>
                      <a:schemeClr val="tx1"/>
                    </a:solidFill>
                  </a:rPr>
                  <a:t> (mg/L)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6736"/>
        <c:crosses val="autoZero"/>
        <c:crossBetween val="midCat"/>
      </c:valAx>
      <c:valAx>
        <c:axId val="141624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q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  <a:r>
                  <a:rPr lang="en-GB">
                    <a:solidFill>
                      <a:schemeClr val="tx1"/>
                    </a:solidFill>
                  </a:rPr>
                  <a:t> (mg/g)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6192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'Isotherm and thermodynamics'!$G$19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'Isotherm and thermodynamics'!$H$20:$H$22</c:f>
                <c:numCache>
                  <c:formatCode>General</c:formatCode>
                  <c:ptCount val="3"/>
                  <c:pt idx="0">
                    <c:v>1.0997147984564262</c:v>
                  </c:pt>
                  <c:pt idx="1">
                    <c:v>1.4547859349066183</c:v>
                  </c:pt>
                  <c:pt idx="2">
                    <c:v>1.4547859349066248</c:v>
                  </c:pt>
                </c:numCache>
              </c:numRef>
            </c:plus>
            <c:minus>
              <c:numRef>
                <c:f>'Isotherm and thermodynamics'!$H$20:$H$22</c:f>
                <c:numCache>
                  <c:formatCode>General</c:formatCode>
                  <c:ptCount val="3"/>
                  <c:pt idx="0">
                    <c:v>1.0997147984564262</c:v>
                  </c:pt>
                  <c:pt idx="1">
                    <c:v>1.4547859349066183</c:v>
                  </c:pt>
                  <c:pt idx="2">
                    <c:v>1.4547859349066248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'Isotherm and thermodynamics'!$F$20:$F$22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cat>
          <c:val>
            <c:numRef>
              <c:f>'Isotherm and thermodynamics'!$G$20:$G$22</c:f>
              <c:numCache>
                <c:formatCode>General</c:formatCode>
                <c:ptCount val="3"/>
                <c:pt idx="0">
                  <c:v>69.07936507936509</c:v>
                </c:pt>
                <c:pt idx="1">
                  <c:v>77.968253968253975</c:v>
                </c:pt>
                <c:pt idx="2">
                  <c:v>83.682539682539684</c:v>
                </c:pt>
              </c:numCache>
            </c:numRef>
          </c:val>
        </c:ser>
        <c:ser>
          <c:idx val="1"/>
          <c:order val="1"/>
          <c:tx>
            <c:strRef>
              <c:f>'Isotherm and thermodynamics'!$I$19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'Isotherm and thermodynamics'!$J$20:$J$22</c:f>
                <c:numCache>
                  <c:formatCode>General</c:formatCode>
                  <c:ptCount val="3"/>
                  <c:pt idx="0">
                    <c:v>0.9523809523809561</c:v>
                  </c:pt>
                  <c:pt idx="1">
                    <c:v>0.9523809523809561</c:v>
                  </c:pt>
                  <c:pt idx="2">
                    <c:v>1.4547859349066183</c:v>
                  </c:pt>
                </c:numCache>
              </c:numRef>
            </c:plus>
            <c:minus>
              <c:numRef>
                <c:f>'Isotherm and thermodynamics'!$J$20:$J$22</c:f>
                <c:numCache>
                  <c:formatCode>General</c:formatCode>
                  <c:ptCount val="3"/>
                  <c:pt idx="0">
                    <c:v>0.9523809523809561</c:v>
                  </c:pt>
                  <c:pt idx="1">
                    <c:v>0.9523809523809561</c:v>
                  </c:pt>
                  <c:pt idx="2">
                    <c:v>1.4547859349066183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'Isotherm and thermodynamics'!$F$20:$F$22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cat>
          <c:val>
            <c:numRef>
              <c:f>'Isotherm and thermodynamics'!$I$20:$I$22</c:f>
              <c:numCache>
                <c:formatCode>General</c:formatCode>
                <c:ptCount val="3"/>
                <c:pt idx="0">
                  <c:v>65.904761904761912</c:v>
                </c:pt>
                <c:pt idx="1">
                  <c:v>73.523809523809518</c:v>
                </c:pt>
                <c:pt idx="2">
                  <c:v>77.968253968253975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16207392"/>
        <c:axId val="1416204672"/>
      </c:barChart>
      <c:catAx>
        <c:axId val="14162073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Temperature</a:t>
                </a:r>
                <a:r>
                  <a:rPr lang="en-GB" baseline="0">
                    <a:solidFill>
                      <a:schemeClr val="tx1"/>
                    </a:solidFill>
                  </a:rPr>
                  <a:t> (</a:t>
                </a:r>
                <a:r>
                  <a:rPr lang="en-GB" baseline="30000">
                    <a:solidFill>
                      <a:schemeClr val="tx1"/>
                    </a:solidFill>
                  </a:rPr>
                  <a:t>o</a:t>
                </a:r>
                <a:r>
                  <a:rPr lang="en-GB" baseline="0">
                    <a:solidFill>
                      <a:schemeClr val="tx1"/>
                    </a:solidFill>
                  </a:rPr>
                  <a:t>C)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4672"/>
        <c:crosses val="autoZero"/>
        <c:auto val="1"/>
        <c:lblAlgn val="ctr"/>
        <c:lblOffset val="100"/>
        <c:noMultiLvlLbl val="0"/>
      </c:catAx>
      <c:valAx>
        <c:axId val="1416204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150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'Isotherm and thermodynamics'!$E$66:$E$68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thermodynamics'!$F$66:$F$68</c:f>
              <c:numCache>
                <c:formatCode>General</c:formatCode>
                <c:ptCount val="3"/>
                <c:pt idx="0">
                  <c:v>69.07936507936509</c:v>
                </c:pt>
                <c:pt idx="1">
                  <c:v>77.968253968253975</c:v>
                </c:pt>
                <c:pt idx="2">
                  <c:v>83.682539682539684</c:v>
                </c:pt>
              </c:numCache>
            </c:numRef>
          </c:yVal>
          <c:smooth val="0"/>
        </c:ser>
        <c:ser>
          <c:idx val="1"/>
          <c:order val="1"/>
          <c:tx>
            <c:v>300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'Isotherm and thermodynamics'!$E$66:$E$68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thermodynamics'!$G$66:$G$68</c:f>
              <c:numCache>
                <c:formatCode>General</c:formatCode>
                <c:ptCount val="3"/>
                <c:pt idx="0">
                  <c:v>62.476190476190482</c:v>
                </c:pt>
                <c:pt idx="1">
                  <c:v>66.761904761904759</c:v>
                </c:pt>
                <c:pt idx="2">
                  <c:v>73.904761904761912</c:v>
                </c:pt>
              </c:numCache>
            </c:numRef>
          </c:yVal>
          <c:smooth val="0"/>
        </c:ser>
        <c:ser>
          <c:idx val="2"/>
          <c:order val="2"/>
          <c:tx>
            <c:v>400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'Isotherm and thermodynamics'!$E$66:$E$68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thermodynamics'!$H$66:$H$68</c:f>
              <c:numCache>
                <c:formatCode>General</c:formatCode>
                <c:ptCount val="3"/>
                <c:pt idx="0">
                  <c:v>60.190476190476183</c:v>
                </c:pt>
                <c:pt idx="1">
                  <c:v>62.928571428571423</c:v>
                </c:pt>
                <c:pt idx="2">
                  <c:v>65.19047619047619</c:v>
                </c:pt>
              </c:numCache>
            </c:numRef>
          </c:yVal>
          <c:smooth val="0"/>
        </c:ser>
        <c:ser>
          <c:idx val="3"/>
          <c:order val="3"/>
          <c:tx>
            <c:v>500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'Isotherm and thermodynamics'!$E$66:$E$68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thermodynamics'!$I$66:$I$68</c:f>
              <c:numCache>
                <c:formatCode>General</c:formatCode>
                <c:ptCount val="3"/>
                <c:pt idx="0">
                  <c:v>48.628571428571419</c:v>
                </c:pt>
                <c:pt idx="1">
                  <c:v>50.628571428571419</c:v>
                </c:pt>
                <c:pt idx="2">
                  <c:v>54.342857142857149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205216"/>
        <c:axId val="1416206848"/>
      </c:scatterChart>
      <c:valAx>
        <c:axId val="1416205216"/>
        <c:scaling>
          <c:orientation val="minMax"/>
          <c:max val="55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+mn-lt"/>
                  </a:rPr>
                  <a:t>Temperature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°C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)</a:t>
                </a:r>
                <a:endParaRPr lang="en-GB">
                  <a:solidFill>
                    <a:schemeClr val="tx1"/>
                  </a:solidFill>
                  <a:latin typeface="+mn-lt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6848"/>
        <c:crosses val="autoZero"/>
        <c:crossBetween val="midCat"/>
      </c:valAx>
      <c:valAx>
        <c:axId val="14162068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52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5244821807780002"/>
          <c:y val="0.20370370370370369"/>
          <c:w val="0.12471094880730835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150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'Isotherm and thermodynamics'!$AF$66:$AF$68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thermodynamics'!$AG$66:$AG$68</c:f>
              <c:numCache>
                <c:formatCode>General</c:formatCode>
                <c:ptCount val="3"/>
                <c:pt idx="0">
                  <c:v>65.904761904761912</c:v>
                </c:pt>
                <c:pt idx="1">
                  <c:v>73.523809523809518</c:v>
                </c:pt>
                <c:pt idx="2">
                  <c:v>77.968253968253975</c:v>
                </c:pt>
              </c:numCache>
            </c:numRef>
          </c:yVal>
          <c:smooth val="0"/>
        </c:ser>
        <c:ser>
          <c:idx val="1"/>
          <c:order val="1"/>
          <c:tx>
            <c:v>300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'Isotherm and thermodynamics'!$AF$66:$AF$68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thermodynamics'!$AH$66:$AH$68</c:f>
              <c:numCache>
                <c:formatCode>General</c:formatCode>
                <c:ptCount val="3"/>
                <c:pt idx="0">
                  <c:v>55.333333333333336</c:v>
                </c:pt>
                <c:pt idx="1">
                  <c:v>59.460317460317462</c:v>
                </c:pt>
                <c:pt idx="2">
                  <c:v>63.587301587301589</c:v>
                </c:pt>
              </c:numCache>
            </c:numRef>
          </c:yVal>
          <c:smooth val="0"/>
        </c:ser>
        <c:ser>
          <c:idx val="2"/>
          <c:order val="2"/>
          <c:tx>
            <c:v>400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'Isotherm and thermodynamics'!$AF$66:$AF$68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thermodynamics'!$AI$66:$AI$68</c:f>
              <c:numCache>
                <c:formatCode>General</c:formatCode>
                <c:ptCount val="3"/>
                <c:pt idx="0">
                  <c:v>52.095238095238095</c:v>
                </c:pt>
                <c:pt idx="1">
                  <c:v>54.595238095238081</c:v>
                </c:pt>
                <c:pt idx="2">
                  <c:v>58.404761904761905</c:v>
                </c:pt>
              </c:numCache>
            </c:numRef>
          </c:yVal>
          <c:smooth val="0"/>
        </c:ser>
        <c:ser>
          <c:idx val="3"/>
          <c:order val="3"/>
          <c:tx>
            <c:v>500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'Isotherm and thermodynamics'!$AF$66:$AF$68</c:f>
              <c:numCache>
                <c:formatCode>General</c:formatCode>
                <c:ptCount val="3"/>
                <c:pt idx="0">
                  <c:v>30</c:v>
                </c:pt>
                <c:pt idx="1">
                  <c:v>40</c:v>
                </c:pt>
                <c:pt idx="2">
                  <c:v>50</c:v>
                </c:pt>
              </c:numCache>
            </c:numRef>
          </c:xVal>
          <c:yVal>
            <c:numRef>
              <c:f>'Isotherm and thermodynamics'!$AJ$66:$AJ$68</c:f>
              <c:numCache>
                <c:formatCode>General</c:formatCode>
                <c:ptCount val="3"/>
                <c:pt idx="0">
                  <c:v>40.723809523809528</c:v>
                </c:pt>
                <c:pt idx="1">
                  <c:v>44.914285714285711</c:v>
                </c:pt>
                <c:pt idx="2">
                  <c:v>47.67619047619047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205760"/>
        <c:axId val="1416206304"/>
      </c:scatterChart>
      <c:valAx>
        <c:axId val="1416205760"/>
        <c:scaling>
          <c:orientation val="minMax"/>
          <c:max val="55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+mn-lt"/>
                  </a:rPr>
                  <a:t>Temperature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°C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)</a:t>
                </a:r>
                <a:endParaRPr lang="en-GB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6304"/>
        <c:crosses val="autoZero"/>
        <c:crossBetween val="midCat"/>
      </c:valAx>
      <c:valAx>
        <c:axId val="1416206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05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5244821807780002"/>
          <c:y val="0.20370370370370369"/>
          <c:w val="0.12471094880730835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Langmuir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thermodynamics'!$AH$83:$AH$86</c:f>
              <c:numCache>
                <c:formatCode>General</c:formatCode>
                <c:ptCount val="4"/>
                <c:pt idx="0">
                  <c:v>51.142857142857139</c:v>
                </c:pt>
                <c:pt idx="1">
                  <c:v>134</c:v>
                </c:pt>
                <c:pt idx="2">
                  <c:v>191.61904761904762</c:v>
                </c:pt>
                <c:pt idx="3">
                  <c:v>296.38095238095235</c:v>
                </c:pt>
              </c:numCache>
            </c:numRef>
          </c:xVal>
          <c:yVal>
            <c:numRef>
              <c:f>'Isotherm and thermodynamics'!$AI$83:$AI$86</c:f>
              <c:numCache>
                <c:formatCode>General</c:formatCode>
                <c:ptCount val="4"/>
                <c:pt idx="0">
                  <c:v>10.346820809248554</c:v>
                </c:pt>
                <c:pt idx="1">
                  <c:v>16.144578313253014</c:v>
                </c:pt>
                <c:pt idx="2">
                  <c:v>18.391224862888482</c:v>
                </c:pt>
                <c:pt idx="3">
                  <c:v>29.111318989709996</c:v>
                </c:pt>
              </c:numCache>
            </c:numRef>
          </c:yVal>
          <c:smooth val="0"/>
        </c:ser>
        <c:ser>
          <c:idx val="1"/>
          <c:order val="1"/>
          <c:tx>
            <c:v>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thermodynamics'!$AH$87:$AH$90</c:f>
              <c:numCache>
                <c:formatCode>General</c:formatCode>
                <c:ptCount val="4"/>
                <c:pt idx="0">
                  <c:v>39.714285714285715</c:v>
                </c:pt>
                <c:pt idx="1">
                  <c:v>121.61904761904763</c:v>
                </c:pt>
                <c:pt idx="2">
                  <c:v>181.61904761904768</c:v>
                </c:pt>
                <c:pt idx="3">
                  <c:v>275.42857142857139</c:v>
                </c:pt>
              </c:numCache>
            </c:numRef>
          </c:xVal>
          <c:yVal>
            <c:numRef>
              <c:f>'Isotherm and thermodynamics'!$AI$87:$AI$90</c:f>
              <c:numCache>
                <c:formatCode>General</c:formatCode>
                <c:ptCount val="4"/>
                <c:pt idx="0">
                  <c:v>7.2020725388601026</c:v>
                </c:pt>
                <c:pt idx="1">
                  <c:v>13.635878270154834</c:v>
                </c:pt>
                <c:pt idx="2">
                  <c:v>16.633231574356746</c:v>
                </c:pt>
                <c:pt idx="3">
                  <c:v>24.529262086513992</c:v>
                </c:pt>
              </c:numCache>
            </c:numRef>
          </c:yVal>
          <c:smooth val="0"/>
        </c:ser>
        <c:ser>
          <c:idx val="2"/>
          <c:order val="2"/>
          <c:tx>
            <c:v>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thermodynamics'!$AH$91:$AH$94</c:f>
              <c:numCache>
                <c:formatCode>General</c:formatCode>
                <c:ptCount val="4"/>
                <c:pt idx="0">
                  <c:v>33.047619047619044</c:v>
                </c:pt>
                <c:pt idx="1">
                  <c:v>109.23809523809524</c:v>
                </c:pt>
                <c:pt idx="2">
                  <c:v>166.38095238095238</c:v>
                </c:pt>
                <c:pt idx="3">
                  <c:v>261.61904761904765</c:v>
                </c:pt>
              </c:numCache>
            </c:numRef>
          </c:xVal>
          <c:yVal>
            <c:numRef>
              <c:f>'Isotherm and thermodynamics'!$AI$91:$AI$94</c:f>
              <c:numCache>
                <c:formatCode>General</c:formatCode>
                <c:ptCount val="4"/>
                <c:pt idx="0">
                  <c:v>5.6514657980456011</c:v>
                </c:pt>
                <c:pt idx="1">
                  <c:v>11.452820768846728</c:v>
                </c:pt>
                <c:pt idx="2">
                  <c:v>14.243783122706889</c:v>
                </c:pt>
                <c:pt idx="3">
                  <c:v>21.949660407510994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074768"/>
        <c:axId val="1415071504"/>
      </c:scatterChart>
      <c:valAx>
        <c:axId val="1415074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71504"/>
        <c:crosses val="autoZero"/>
        <c:crossBetween val="midCat"/>
      </c:valAx>
      <c:valAx>
        <c:axId val="14150715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747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Langmuir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thermodynamics'!$F$83:$F$86</c:f>
              <c:numCache>
                <c:formatCode>General</c:formatCode>
                <c:ptCount val="4"/>
                <c:pt idx="0">
                  <c:v>46.380952380952387</c:v>
                </c:pt>
                <c:pt idx="1">
                  <c:v>107.80952380952381</c:v>
                </c:pt>
                <c:pt idx="2">
                  <c:v>159.23809523809521</c:v>
                </c:pt>
                <c:pt idx="3">
                  <c:v>257.33333333333337</c:v>
                </c:pt>
              </c:numCache>
            </c:numRef>
          </c:xVal>
          <c:yVal>
            <c:numRef>
              <c:f>'Isotherm and thermodynamics'!$G$83:$G$86</c:f>
              <c:numCache>
                <c:formatCode>General</c:formatCode>
                <c:ptCount val="4"/>
                <c:pt idx="0">
                  <c:v>8.952205882352942</c:v>
                </c:pt>
                <c:pt idx="1">
                  <c:v>11.219028741328046</c:v>
                </c:pt>
                <c:pt idx="2">
                  <c:v>13.22784810126582</c:v>
                </c:pt>
                <c:pt idx="3">
                  <c:v>21.208791208791212</c:v>
                </c:pt>
              </c:numCache>
            </c:numRef>
          </c:yVal>
          <c:smooth val="0"/>
        </c:ser>
        <c:ser>
          <c:idx val="1"/>
          <c:order val="1"/>
          <c:tx>
            <c:v>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thermodynamics'!$F$87:$F$90</c:f>
              <c:numCache>
                <c:formatCode>General</c:formatCode>
                <c:ptCount val="4"/>
                <c:pt idx="0">
                  <c:v>33.047619047619044</c:v>
                </c:pt>
                <c:pt idx="1">
                  <c:v>94.952380952380963</c:v>
                </c:pt>
                <c:pt idx="2">
                  <c:v>148.28571428571431</c:v>
                </c:pt>
                <c:pt idx="3">
                  <c:v>246.85714285714289</c:v>
                </c:pt>
              </c:numCache>
            </c:numRef>
          </c:xVal>
          <c:yVal>
            <c:numRef>
              <c:f>'Isotherm and thermodynamics'!$G$87:$G$90</c:f>
              <c:numCache>
                <c:formatCode>General</c:formatCode>
                <c:ptCount val="4"/>
                <c:pt idx="0">
                  <c:v>5.6514657980456011</c:v>
                </c:pt>
                <c:pt idx="1">
                  <c:v>9.2614955875522522</c:v>
                </c:pt>
                <c:pt idx="2">
                  <c:v>11.782065834279228</c:v>
                </c:pt>
                <c:pt idx="3">
                  <c:v>19.503386004514674</c:v>
                </c:pt>
              </c:numCache>
            </c:numRef>
          </c:yVal>
          <c:smooth val="0"/>
        </c:ser>
        <c:ser>
          <c:idx val="2"/>
          <c:order val="2"/>
          <c:tx>
            <c:v>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thermodynamics'!$F$91:$F$94</c:f>
              <c:numCache>
                <c:formatCode>General</c:formatCode>
                <c:ptCount val="4"/>
                <c:pt idx="0">
                  <c:v>24.476190476190478</c:v>
                </c:pt>
                <c:pt idx="1">
                  <c:v>78.761904761904773</c:v>
                </c:pt>
                <c:pt idx="2">
                  <c:v>139.23809523809527</c:v>
                </c:pt>
                <c:pt idx="3">
                  <c:v>230.19047619047618</c:v>
                </c:pt>
              </c:numCache>
            </c:numRef>
          </c:xVal>
          <c:yVal>
            <c:numRef>
              <c:f>'Isotherm and thermodynamics'!$G$91:$G$94</c:f>
              <c:numCache>
                <c:formatCode>General</c:formatCode>
                <c:ptCount val="4"/>
                <c:pt idx="0">
                  <c:v>3.8998482549317153</c:v>
                </c:pt>
                <c:pt idx="1">
                  <c:v>7.1201033146792945</c:v>
                </c:pt>
                <c:pt idx="2">
                  <c:v>10.679327976625276</c:v>
                </c:pt>
                <c:pt idx="3">
                  <c:v>17.063183903988701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073680"/>
        <c:axId val="1415074224"/>
      </c:scatterChart>
      <c:valAx>
        <c:axId val="14150736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74224"/>
        <c:crosses val="autoZero"/>
        <c:crossBetween val="midCat"/>
      </c:valAx>
      <c:valAx>
        <c:axId val="14150742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736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Freundlich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thermodynamics'!$I$83:$I$86</c:f>
              <c:numCache>
                <c:formatCode>General</c:formatCode>
                <c:ptCount val="4"/>
                <c:pt idx="0">
                  <c:v>1.6663396621446964</c:v>
                </c:pt>
                <c:pt idx="1">
                  <c:v>2.0326571277823144</c:v>
                </c:pt>
                <c:pt idx="2">
                  <c:v>2.2020469740330593</c:v>
                </c:pt>
                <c:pt idx="3">
                  <c:v>2.4104960456160738</c:v>
                </c:pt>
              </c:numCache>
            </c:numRef>
          </c:xVal>
          <c:yVal>
            <c:numRef>
              <c:f>'Isotherm and thermodynamics'!$H$83:$H$86</c:f>
              <c:numCache>
                <c:formatCode>General</c:formatCode>
                <c:ptCount val="4"/>
                <c:pt idx="0">
                  <c:v>0.71440960062824188</c:v>
                </c:pt>
                <c:pt idx="1">
                  <c:v>0.9827018671669725</c:v>
                </c:pt>
                <c:pt idx="2">
                  <c:v>1.0805577748764281</c:v>
                </c:pt>
                <c:pt idx="3">
                  <c:v>1.0839801289293935</c:v>
                </c:pt>
              </c:numCache>
            </c:numRef>
          </c:yVal>
          <c:smooth val="0"/>
        </c:ser>
        <c:ser>
          <c:idx val="1"/>
          <c:order val="1"/>
          <c:tx>
            <c:v>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thermodynamics'!$I$87:$I$90</c:f>
              <c:numCache>
                <c:formatCode>General</c:formatCode>
                <c:ptCount val="4"/>
                <c:pt idx="0">
                  <c:v>1.5191401757209355</c:v>
                </c:pt>
                <c:pt idx="1">
                  <c:v>1.9775058592417176</c:v>
                </c:pt>
                <c:pt idx="2">
                  <c:v>2.1710993134981824</c:v>
                </c:pt>
                <c:pt idx="3">
                  <c:v>2.3924456981286175</c:v>
                </c:pt>
              </c:numCache>
            </c:numRef>
          </c:xVal>
          <c:yVal>
            <c:numRef>
              <c:f>'Isotherm and thermodynamics'!$H$87:$H$90</c:f>
              <c:numCache>
                <c:formatCode>General</c:formatCode>
                <c:ptCount val="4"/>
                <c:pt idx="0">
                  <c:v>0.76697907207122962</c:v>
                </c:pt>
                <c:pt idx="1">
                  <c:v>1.010824735089568</c:v>
                </c:pt>
                <c:pt idx="2">
                  <c:v>1.0998778683977912</c:v>
                </c:pt>
                <c:pt idx="3">
                  <c:v>1.1023356818727941</c:v>
                </c:pt>
              </c:numCache>
            </c:numRef>
          </c:yVal>
          <c:smooth val="0"/>
        </c:ser>
        <c:ser>
          <c:idx val="2"/>
          <c:order val="2"/>
          <c:tx>
            <c:v>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thermodynamics'!$I$91:$I$94</c:f>
              <c:numCache>
                <c:formatCode>General</c:formatCode>
                <c:ptCount val="4"/>
                <c:pt idx="0">
                  <c:v>1.3887438242613566</c:v>
                </c:pt>
                <c:pt idx="1">
                  <c:v>1.8963162104826086</c:v>
                </c:pt>
                <c:pt idx="2">
                  <c:v>2.1437580735519037</c:v>
                </c:pt>
                <c:pt idx="3">
                  <c:v>2.3620873513377121</c:v>
                </c:pt>
              </c:numCache>
            </c:numRef>
          </c:xVal>
          <c:yVal>
            <c:numRef>
              <c:f>'Isotherm and thermodynamics'!$H$91:$H$94</c:f>
              <c:numCache>
                <c:formatCode>General</c:formatCode>
                <c:ptCount val="4"/>
                <c:pt idx="0">
                  <c:v>0.79769611552407182</c:v>
                </c:pt>
                <c:pt idx="1">
                  <c:v>1.0438299150663162</c:v>
                </c:pt>
                <c:pt idx="2">
                  <c:v>1.1152141490640519</c:v>
                </c:pt>
                <c:pt idx="3">
                  <c:v>1.1300272797865181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068784"/>
        <c:axId val="1415069328"/>
      </c:scatterChart>
      <c:valAx>
        <c:axId val="1415068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69328"/>
        <c:crosses val="autoZero"/>
        <c:crossBetween val="midCat"/>
      </c:valAx>
      <c:valAx>
        <c:axId val="14150693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06878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Freundlich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thermodynamics'!$AK$83:$AK$86</c:f>
              <c:numCache>
                <c:formatCode>General</c:formatCode>
                <c:ptCount val="4"/>
                <c:pt idx="0">
                  <c:v>1.7087849866296174</c:v>
                </c:pt>
                <c:pt idx="1">
                  <c:v>2.1271047983648077</c:v>
                </c:pt>
                <c:pt idx="2">
                  <c:v>2.2824386773139516</c:v>
                </c:pt>
                <c:pt idx="3">
                  <c:v>2.4718502892477132</c:v>
                </c:pt>
              </c:numCache>
            </c:numRef>
          </c:xVal>
          <c:yVal>
            <c:numRef>
              <c:f>'Isotherm and thermodynamics'!$AJ$83:$AJ$86</c:f>
              <c:numCache>
                <c:formatCode>General</c:formatCode>
                <c:ptCount val="4"/>
                <c:pt idx="0">
                  <c:v>0.69397805877851981</c:v>
                </c:pt>
                <c:pt idx="1">
                  <c:v>0.91907809237607385</c:v>
                </c:pt>
                <c:pt idx="2">
                  <c:v>1.0178280229274739</c:v>
                </c:pt>
                <c:pt idx="3">
                  <c:v>1.00778840613884</c:v>
                </c:pt>
              </c:numCache>
            </c:numRef>
          </c:yVal>
          <c:smooth val="0"/>
        </c:ser>
        <c:ser>
          <c:idx val="1"/>
          <c:order val="1"/>
          <c:tx>
            <c:v>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thermodynamics'!$AK$87:$AK$90</c:f>
              <c:numCache>
                <c:formatCode>General</c:formatCode>
                <c:ptCount val="4"/>
                <c:pt idx="0">
                  <c:v>1.5989467559038195</c:v>
                </c:pt>
                <c:pt idx="1">
                  <c:v>2.0850015981934771</c:v>
                </c:pt>
                <c:pt idx="2">
                  <c:v>2.2591613939760675</c:v>
                </c:pt>
                <c:pt idx="3">
                  <c:v>2.4400089895525552</c:v>
                </c:pt>
              </c:numCache>
            </c:numRef>
          </c:xVal>
          <c:yVal>
            <c:numRef>
              <c:f>'Isotherm and thermodynamics'!$AJ$87:$AJ$90</c:f>
              <c:numCache>
                <c:formatCode>General</c:formatCode>
                <c:ptCount val="4"/>
                <c:pt idx="0">
                  <c:v>0.7414892646574982</c:v>
                </c:pt>
                <c:pt idx="1">
                  <c:v>0.95031848264131813</c:v>
                </c:pt>
                <c:pt idx="2">
                  <c:v>1.0381847599960194</c:v>
                </c:pt>
                <c:pt idx="3">
                  <c:v>1.0503245060251509</c:v>
                </c:pt>
              </c:numCache>
            </c:numRef>
          </c:yVal>
          <c:smooth val="0"/>
        </c:ser>
        <c:ser>
          <c:idx val="2"/>
          <c:order val="2"/>
          <c:tx>
            <c:v>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'Isotherm and thermodynamics'!$AK$91:$AK$94</c:f>
              <c:numCache>
                <c:formatCode>General</c:formatCode>
                <c:ptCount val="4"/>
                <c:pt idx="0">
                  <c:v>1.5191401757209355</c:v>
                </c:pt>
                <c:pt idx="1">
                  <c:v>2.0383741188313298</c:v>
                </c:pt>
                <c:pt idx="2">
                  <c:v>2.2211036059129929</c:v>
                </c:pt>
                <c:pt idx="3">
                  <c:v>2.4176693603506241</c:v>
                </c:pt>
              </c:numCache>
            </c:numRef>
          </c:xVal>
          <c:yVal>
            <c:numRef>
              <c:f>'Isotherm and thermodynamics'!$AJ$91:$AJ$94</c:f>
              <c:numCache>
                <c:formatCode>General</c:formatCode>
                <c:ptCount val="4"/>
                <c:pt idx="0">
                  <c:v>0.76697907207122962</c:v>
                </c:pt>
                <c:pt idx="1">
                  <c:v>0.97946165455965706</c:v>
                </c:pt>
                <c:pt idx="2">
                  <c:v>1.0674782534724665</c:v>
                </c:pt>
                <c:pt idx="3">
                  <c:v>1.0762415548743038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60880"/>
        <c:axId val="1416464144"/>
      </c:scatterChart>
      <c:valAx>
        <c:axId val="1416460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64144"/>
        <c:crosses val="autoZero"/>
        <c:crossBetween val="midCat"/>
      </c:valAx>
      <c:valAx>
        <c:axId val="1416464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60880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Langmuir at 30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7433029532725733"/>
                  <c:y val="0.222652376786235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thermodynamics'!$G$103:$G$106</c:f>
              <c:numCache>
                <c:formatCode>General</c:formatCode>
                <c:ptCount val="4"/>
                <c:pt idx="0">
                  <c:v>46.380952380952387</c:v>
                </c:pt>
                <c:pt idx="1">
                  <c:v>107.80952380952381</c:v>
                </c:pt>
                <c:pt idx="2">
                  <c:v>159.23809523809521</c:v>
                </c:pt>
                <c:pt idx="3">
                  <c:v>257.33333333333337</c:v>
                </c:pt>
              </c:numCache>
            </c:numRef>
          </c:xVal>
          <c:yVal>
            <c:numRef>
              <c:f>'Isotherm and thermodynamics'!$I$103:$I$106</c:f>
              <c:numCache>
                <c:formatCode>General</c:formatCode>
                <c:ptCount val="4"/>
                <c:pt idx="0">
                  <c:v>8.952205882352942</c:v>
                </c:pt>
                <c:pt idx="1">
                  <c:v>11.219028741328046</c:v>
                </c:pt>
                <c:pt idx="2">
                  <c:v>13.22784810126582</c:v>
                </c:pt>
                <c:pt idx="3">
                  <c:v>21.208791208791212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0361942946108117E-2"/>
                  <c:y val="-7.889982502187226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thermodynamics'!$H$103:$H$106</c:f>
              <c:numCache>
                <c:formatCode>General</c:formatCode>
                <c:ptCount val="4"/>
                <c:pt idx="0">
                  <c:v>51.142857142857139</c:v>
                </c:pt>
                <c:pt idx="1">
                  <c:v>134</c:v>
                </c:pt>
                <c:pt idx="2">
                  <c:v>191.61904761904762</c:v>
                </c:pt>
                <c:pt idx="3">
                  <c:v>296.38095238095235</c:v>
                </c:pt>
              </c:numCache>
            </c:numRef>
          </c:xVal>
          <c:yVal>
            <c:numRef>
              <c:f>'Isotherm and thermodynamics'!$J$103:$J$106</c:f>
              <c:numCache>
                <c:formatCode>General</c:formatCode>
                <c:ptCount val="4"/>
                <c:pt idx="0">
                  <c:v>10.346820809248554</c:v>
                </c:pt>
                <c:pt idx="1">
                  <c:v>16.144578313253014</c:v>
                </c:pt>
                <c:pt idx="2">
                  <c:v>18.391224862888482</c:v>
                </c:pt>
                <c:pt idx="3">
                  <c:v>29.111318989709996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51088"/>
        <c:axId val="1416451632"/>
      </c:scatterChart>
      <c:valAx>
        <c:axId val="14164510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1632"/>
        <c:crosses val="autoZero"/>
        <c:crossBetween val="midCat"/>
      </c:valAx>
      <c:valAx>
        <c:axId val="14164516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10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Freundlich at 30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4333685093487026E-2"/>
                  <c:y val="-6.060185185185185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0.5253x - 0.1261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0.9057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thermodynamics'!$M$103:$M$106</c:f>
              <c:numCache>
                <c:formatCode>General</c:formatCode>
                <c:ptCount val="4"/>
                <c:pt idx="0">
                  <c:v>1.6663396621446964</c:v>
                </c:pt>
                <c:pt idx="1">
                  <c:v>2.0326571277823144</c:v>
                </c:pt>
                <c:pt idx="2">
                  <c:v>2.2020469740330593</c:v>
                </c:pt>
                <c:pt idx="3">
                  <c:v>2.4104960456160738</c:v>
                </c:pt>
              </c:numCache>
            </c:numRef>
          </c:xVal>
          <c:yVal>
            <c:numRef>
              <c:f>'Isotherm and thermodynamics'!$K$103:$K$106</c:f>
              <c:numCache>
                <c:formatCode>General</c:formatCode>
                <c:ptCount val="4"/>
                <c:pt idx="0">
                  <c:v>0.71440960062824188</c:v>
                </c:pt>
                <c:pt idx="1">
                  <c:v>0.9827018671669725</c:v>
                </c:pt>
                <c:pt idx="2">
                  <c:v>1.0805577748764281</c:v>
                </c:pt>
                <c:pt idx="3">
                  <c:v>1.0839801289293935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8652271558838651"/>
                  <c:y val="0.2403240740740740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0.4453x - 0.0467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0.9233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thermodynamics'!$N$103:$N$106</c:f>
              <c:numCache>
                <c:formatCode>General</c:formatCode>
                <c:ptCount val="4"/>
                <c:pt idx="0">
                  <c:v>1.7087849866296174</c:v>
                </c:pt>
                <c:pt idx="1">
                  <c:v>2.1271047983648077</c:v>
                </c:pt>
                <c:pt idx="2">
                  <c:v>2.2824386773139516</c:v>
                </c:pt>
                <c:pt idx="3">
                  <c:v>2.4718502892477132</c:v>
                </c:pt>
              </c:numCache>
            </c:numRef>
          </c:xVal>
          <c:yVal>
            <c:numRef>
              <c:f>'Isotherm and thermodynamics'!$L$103:$L$106</c:f>
              <c:numCache>
                <c:formatCode>General</c:formatCode>
                <c:ptCount val="4"/>
                <c:pt idx="0">
                  <c:v>0.69397805877851981</c:v>
                </c:pt>
                <c:pt idx="1">
                  <c:v>0.91907809237607385</c:v>
                </c:pt>
                <c:pt idx="2">
                  <c:v>1.0178280229274739</c:v>
                </c:pt>
                <c:pt idx="3">
                  <c:v>1.00778840613884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59792"/>
        <c:axId val="1416457072"/>
      </c:scatterChart>
      <c:valAx>
        <c:axId val="1416459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7072"/>
        <c:crosses val="autoZero"/>
        <c:crossBetween val="midCat"/>
      </c:valAx>
      <c:valAx>
        <c:axId val="14164570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9792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Jar pH2.2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Kinetics!$E$41:$E$48</c:f>
                <c:numCache>
                  <c:formatCode>General</c:formatCode>
                  <c:ptCount val="8"/>
                  <c:pt idx="0">
                    <c:v>2.1994295969128648</c:v>
                  </c:pt>
                  <c:pt idx="1">
                    <c:v>1.4547859349066061</c:v>
                  </c:pt>
                  <c:pt idx="2">
                    <c:v>2.5197631533948472</c:v>
                  </c:pt>
                  <c:pt idx="3">
                    <c:v>2.1994295969128563</c:v>
                  </c:pt>
                  <c:pt idx="4">
                    <c:v>1.4547859349066248</c:v>
                  </c:pt>
                  <c:pt idx="5">
                    <c:v>1.454785934906617</c:v>
                  </c:pt>
                  <c:pt idx="6">
                    <c:v>1.0997147984564262</c:v>
                  </c:pt>
                  <c:pt idx="7">
                    <c:v>1.0997147984564262</c:v>
                  </c:pt>
                </c:numCache>
              </c:numRef>
            </c:plus>
            <c:minus>
              <c:numRef>
                <c:f>Kinetics!$E$41:$E$48</c:f>
                <c:numCache>
                  <c:formatCode>General</c:formatCode>
                  <c:ptCount val="8"/>
                  <c:pt idx="0">
                    <c:v>2.1994295969128648</c:v>
                  </c:pt>
                  <c:pt idx="1">
                    <c:v>1.4547859349066061</c:v>
                  </c:pt>
                  <c:pt idx="2">
                    <c:v>2.5197631533948472</c:v>
                  </c:pt>
                  <c:pt idx="3">
                    <c:v>2.1994295969128563</c:v>
                  </c:pt>
                  <c:pt idx="4">
                    <c:v>1.4547859349066248</c:v>
                  </c:pt>
                  <c:pt idx="5">
                    <c:v>1.454785934906617</c:v>
                  </c:pt>
                  <c:pt idx="6">
                    <c:v>1.0997147984564262</c:v>
                  </c:pt>
                  <c:pt idx="7">
                    <c:v>1.0997147984564262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Kinetics!$C$41:$C$48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80</c:v>
                </c:pt>
                <c:pt idx="7">
                  <c:v>120</c:v>
                </c:pt>
              </c:numCache>
            </c:numRef>
          </c:xVal>
          <c:yVal>
            <c:numRef>
              <c:f>Kinetics!$D$41:$D$48</c:f>
              <c:numCache>
                <c:formatCode>General</c:formatCode>
                <c:ptCount val="8"/>
                <c:pt idx="0">
                  <c:v>37.968253968253968</c:v>
                </c:pt>
                <c:pt idx="1">
                  <c:v>43.682539682539677</c:v>
                </c:pt>
                <c:pt idx="2">
                  <c:v>49.714285714285715</c:v>
                </c:pt>
                <c:pt idx="3">
                  <c:v>56.06349206349207</c:v>
                </c:pt>
                <c:pt idx="4">
                  <c:v>66.222222222222229</c:v>
                </c:pt>
                <c:pt idx="5">
                  <c:v>68.444444444444443</c:v>
                </c:pt>
                <c:pt idx="6">
                  <c:v>69.07936507936509</c:v>
                </c:pt>
                <c:pt idx="7">
                  <c:v>69.07936507936509</c:v>
                </c:pt>
              </c:numCache>
            </c:numRef>
          </c:yVal>
          <c:smooth val="1"/>
        </c:ser>
        <c:ser>
          <c:idx val="1"/>
          <c:order val="1"/>
          <c:tx>
            <c:v>Jar pH1.7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Kinetics!$G$41:$G$48</c:f>
                <c:numCache>
                  <c:formatCode>General</c:formatCode>
                  <c:ptCount val="8"/>
                  <c:pt idx="0">
                    <c:v>1.0997147984564302</c:v>
                  </c:pt>
                  <c:pt idx="1">
                    <c:v>1.4547859349066139</c:v>
                  </c:pt>
                  <c:pt idx="2">
                    <c:v>0.95238095238094189</c:v>
                  </c:pt>
                  <c:pt idx="3">
                    <c:v>1.9047619047619084</c:v>
                  </c:pt>
                  <c:pt idx="4">
                    <c:v>2.9095718698132327</c:v>
                  </c:pt>
                  <c:pt idx="5">
                    <c:v>0.54985739922821719</c:v>
                  </c:pt>
                  <c:pt idx="6">
                    <c:v>0.9523809523809561</c:v>
                  </c:pt>
                  <c:pt idx="7">
                    <c:v>0.9523809523809561</c:v>
                  </c:pt>
                </c:numCache>
              </c:numRef>
            </c:plus>
            <c:minus>
              <c:numRef>
                <c:f>Kinetics!$G$41:$G$48</c:f>
                <c:numCache>
                  <c:formatCode>General</c:formatCode>
                  <c:ptCount val="8"/>
                  <c:pt idx="0">
                    <c:v>1.0997147984564302</c:v>
                  </c:pt>
                  <c:pt idx="1">
                    <c:v>1.4547859349066139</c:v>
                  </c:pt>
                  <c:pt idx="2">
                    <c:v>0.95238095238094189</c:v>
                  </c:pt>
                  <c:pt idx="3">
                    <c:v>1.9047619047619084</c:v>
                  </c:pt>
                  <c:pt idx="4">
                    <c:v>2.9095718698132327</c:v>
                  </c:pt>
                  <c:pt idx="5">
                    <c:v>0.54985739922821719</c:v>
                  </c:pt>
                  <c:pt idx="6">
                    <c:v>0.9523809523809561</c:v>
                  </c:pt>
                  <c:pt idx="7">
                    <c:v>0.9523809523809561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Kinetics!$C$41:$C$48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80</c:v>
                </c:pt>
                <c:pt idx="7">
                  <c:v>120</c:v>
                </c:pt>
              </c:numCache>
            </c:numRef>
          </c:xVal>
          <c:yVal>
            <c:numRef>
              <c:f>Kinetics!$F$41:$F$48</c:f>
              <c:numCache>
                <c:formatCode>General</c:formatCode>
                <c:ptCount val="8"/>
                <c:pt idx="0">
                  <c:v>34.158730158730151</c:v>
                </c:pt>
                <c:pt idx="1">
                  <c:v>38.603174603174608</c:v>
                </c:pt>
                <c:pt idx="2">
                  <c:v>43.047619047619037</c:v>
                </c:pt>
                <c:pt idx="3">
                  <c:v>48.761904761904759</c:v>
                </c:pt>
                <c:pt idx="4">
                  <c:v>58.603174603174608</c:v>
                </c:pt>
                <c:pt idx="5">
                  <c:v>63.682539682539677</c:v>
                </c:pt>
                <c:pt idx="6">
                  <c:v>65.904761904761912</c:v>
                </c:pt>
                <c:pt idx="7">
                  <c:v>65.904761904761912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477360"/>
        <c:axId val="1298477904"/>
      </c:scatterChart>
      <c:valAx>
        <c:axId val="12984773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Contact time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77904"/>
        <c:crosses val="autoZero"/>
        <c:crossBetween val="midCat"/>
      </c:valAx>
      <c:valAx>
        <c:axId val="1298477904"/>
        <c:scaling>
          <c:orientation val="minMax"/>
          <c:min val="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773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947506561679794E-3"/>
                  <c:y val="-0.2803466754155730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-4069.5x + 11.249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0.9981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thermodynamics'!$C$131:$C$133</c:f>
              <c:numCache>
                <c:formatCode>General</c:formatCode>
                <c:ptCount val="3"/>
                <c:pt idx="0">
                  <c:v>3.3003300330033004E-3</c:v>
                </c:pt>
                <c:pt idx="1">
                  <c:v>3.1948881789137379E-3</c:v>
                </c:pt>
                <c:pt idx="2">
                  <c:v>3.0959752321981426E-3</c:v>
                </c:pt>
              </c:numCache>
            </c:numRef>
          </c:xVal>
          <c:yVal>
            <c:numRef>
              <c:f>'Isotherm and thermodynamics'!$E$131:$E$133</c:f>
              <c:numCache>
                <c:formatCode>General</c:formatCode>
                <c:ptCount val="3"/>
                <c:pt idx="0">
                  <c:v>-2.1918999692206929</c:v>
                </c:pt>
                <c:pt idx="1">
                  <c:v>-1.7319149447937623</c:v>
                </c:pt>
                <c:pt idx="2">
                  <c:v>-1.3609376433867584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478302712160979"/>
                  <c:y val="-2.532407407407398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-2964.6x + 7.4638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0.9909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thermodynamics'!$H$131:$H$133</c:f>
              <c:numCache>
                <c:formatCode>General</c:formatCode>
                <c:ptCount val="3"/>
                <c:pt idx="0">
                  <c:v>3.3003300330033004E-3</c:v>
                </c:pt>
                <c:pt idx="1">
                  <c:v>3.1948881789137379E-3</c:v>
                </c:pt>
                <c:pt idx="2">
                  <c:v>3.0959752321981426E-3</c:v>
                </c:pt>
              </c:numCache>
            </c:numRef>
          </c:xVal>
          <c:yVal>
            <c:numRef>
              <c:f>'Isotherm and thermodynamics'!$J$131:$J$133</c:f>
              <c:numCache>
                <c:formatCode>General</c:formatCode>
                <c:ptCount val="3"/>
                <c:pt idx="0">
                  <c:v>-2.3366793043370215</c:v>
                </c:pt>
                <c:pt idx="1">
                  <c:v>-1.9743688372198516</c:v>
                </c:pt>
                <c:pt idx="2">
                  <c:v>-1.7319149447937623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61424"/>
        <c:axId val="1416453264"/>
      </c:scatterChart>
      <c:valAx>
        <c:axId val="1416461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1/T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3264"/>
        <c:crosses val="autoZero"/>
        <c:crossBetween val="midCat"/>
      </c:valAx>
      <c:valAx>
        <c:axId val="14164532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ln K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D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61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Langmuir at 40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88314354406486"/>
                  <c:y val="0.201674996104938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thermodynamics'!$G$107:$G$110</c:f>
              <c:numCache>
                <c:formatCode>General</c:formatCode>
                <c:ptCount val="4"/>
                <c:pt idx="0">
                  <c:v>33.047619047619044</c:v>
                </c:pt>
                <c:pt idx="1">
                  <c:v>94.952380952380963</c:v>
                </c:pt>
                <c:pt idx="2">
                  <c:v>148.28571428571431</c:v>
                </c:pt>
                <c:pt idx="3">
                  <c:v>246.85714285714289</c:v>
                </c:pt>
              </c:numCache>
            </c:numRef>
          </c:xVal>
          <c:yVal>
            <c:numRef>
              <c:f>'Isotherm and thermodynamics'!$I$107:$I$110</c:f>
              <c:numCache>
                <c:formatCode>General</c:formatCode>
                <c:ptCount val="4"/>
                <c:pt idx="0">
                  <c:v>5.6514657980456011</c:v>
                </c:pt>
                <c:pt idx="1">
                  <c:v>9.2614955875522522</c:v>
                </c:pt>
                <c:pt idx="2">
                  <c:v>11.782065834279228</c:v>
                </c:pt>
                <c:pt idx="3">
                  <c:v>19.503386004514674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0089142400507024E-2"/>
                  <c:y val="-7.36073059360730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thermodynamics'!$H$107:$H$110</c:f>
              <c:numCache>
                <c:formatCode>General</c:formatCode>
                <c:ptCount val="4"/>
                <c:pt idx="0">
                  <c:v>39.714285714285715</c:v>
                </c:pt>
                <c:pt idx="1">
                  <c:v>121.61904761904763</c:v>
                </c:pt>
                <c:pt idx="2">
                  <c:v>181.61904761904768</c:v>
                </c:pt>
                <c:pt idx="3">
                  <c:v>275.42857142857139</c:v>
                </c:pt>
              </c:numCache>
            </c:numRef>
          </c:xVal>
          <c:yVal>
            <c:numRef>
              <c:f>'Isotherm and thermodynamics'!$J$107:$J$110</c:f>
              <c:numCache>
                <c:formatCode>General</c:formatCode>
                <c:ptCount val="4"/>
                <c:pt idx="0">
                  <c:v>7.2020725388601026</c:v>
                </c:pt>
                <c:pt idx="1">
                  <c:v>13.635878270154834</c:v>
                </c:pt>
                <c:pt idx="2">
                  <c:v>16.633231574356746</c:v>
                </c:pt>
                <c:pt idx="3">
                  <c:v>24.529262086513992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54352"/>
        <c:axId val="1416456528"/>
      </c:scatterChart>
      <c:valAx>
        <c:axId val="1416454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6528"/>
        <c:crosses val="autoZero"/>
        <c:crossBetween val="midCat"/>
      </c:valAx>
      <c:valAx>
        <c:axId val="1416456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4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Freundlich at 40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4933571447898911E-2"/>
                  <c:y val="-6.6907993966817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thermodynamics'!$M$107:$M$110</c:f>
              <c:numCache>
                <c:formatCode>General</c:formatCode>
                <c:ptCount val="4"/>
                <c:pt idx="0">
                  <c:v>1.5191401757209355</c:v>
                </c:pt>
                <c:pt idx="1">
                  <c:v>1.9775058592417176</c:v>
                </c:pt>
                <c:pt idx="2">
                  <c:v>2.1710993134981824</c:v>
                </c:pt>
                <c:pt idx="3">
                  <c:v>2.3924456981286175</c:v>
                </c:pt>
              </c:numCache>
            </c:numRef>
          </c:xVal>
          <c:yVal>
            <c:numRef>
              <c:f>'Isotherm and thermodynamics'!$K$107:$K$110</c:f>
              <c:numCache>
                <c:formatCode>General</c:formatCode>
                <c:ptCount val="4"/>
                <c:pt idx="0">
                  <c:v>0.76697907207122962</c:v>
                </c:pt>
                <c:pt idx="1">
                  <c:v>1.010824735089568</c:v>
                </c:pt>
                <c:pt idx="2">
                  <c:v>1.0998778683977912</c:v>
                </c:pt>
                <c:pt idx="3">
                  <c:v>1.1023356818727941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75836783288687"/>
                  <c:y val="0.1864856711915534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thermodynamics'!$N$107:$N$110</c:f>
              <c:numCache>
                <c:formatCode>General</c:formatCode>
                <c:ptCount val="4"/>
                <c:pt idx="0">
                  <c:v>1.5989467559038195</c:v>
                </c:pt>
                <c:pt idx="1">
                  <c:v>2.0850015981934771</c:v>
                </c:pt>
                <c:pt idx="2">
                  <c:v>2.2591613939760675</c:v>
                </c:pt>
                <c:pt idx="3">
                  <c:v>2.4400089895525552</c:v>
                </c:pt>
              </c:numCache>
            </c:numRef>
          </c:xVal>
          <c:yVal>
            <c:numRef>
              <c:f>'Isotherm and thermodynamics'!$L$107:$L$110</c:f>
              <c:numCache>
                <c:formatCode>General</c:formatCode>
                <c:ptCount val="4"/>
                <c:pt idx="0">
                  <c:v>0.7414892646574982</c:v>
                </c:pt>
                <c:pt idx="1">
                  <c:v>0.95031848264131813</c:v>
                </c:pt>
                <c:pt idx="2">
                  <c:v>1.0381847599960194</c:v>
                </c:pt>
                <c:pt idx="3">
                  <c:v>1.0503245060251509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55984"/>
        <c:axId val="1416462512"/>
      </c:scatterChart>
      <c:valAx>
        <c:axId val="141645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62512"/>
        <c:crosses val="autoZero"/>
        <c:crossBetween val="midCat"/>
      </c:valAx>
      <c:valAx>
        <c:axId val="14164625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598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Langmuir at 50 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88314354406486"/>
                  <c:y val="0.201674996104938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thermodynamics'!$G$111:$G$114</c:f>
              <c:numCache>
                <c:formatCode>General</c:formatCode>
                <c:ptCount val="4"/>
                <c:pt idx="0">
                  <c:v>24.476190476190478</c:v>
                </c:pt>
                <c:pt idx="1">
                  <c:v>78.761904761904773</c:v>
                </c:pt>
                <c:pt idx="2">
                  <c:v>139.23809523809527</c:v>
                </c:pt>
                <c:pt idx="3">
                  <c:v>230.19047619047618</c:v>
                </c:pt>
              </c:numCache>
            </c:numRef>
          </c:xVal>
          <c:yVal>
            <c:numRef>
              <c:f>'Isotherm and thermodynamics'!$I$111:$I$114</c:f>
              <c:numCache>
                <c:formatCode>General</c:formatCode>
                <c:ptCount val="4"/>
                <c:pt idx="0">
                  <c:v>3.8998482549317153</c:v>
                </c:pt>
                <c:pt idx="1">
                  <c:v>7.1201033146792945</c:v>
                </c:pt>
                <c:pt idx="2">
                  <c:v>10.679327976625276</c:v>
                </c:pt>
                <c:pt idx="3">
                  <c:v>17.063183903988701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0089142400507024E-2"/>
                  <c:y val="-7.36073059360730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thermodynamics'!$H$111:$H$114</c:f>
              <c:numCache>
                <c:formatCode>General</c:formatCode>
                <c:ptCount val="4"/>
                <c:pt idx="0">
                  <c:v>33.047619047619044</c:v>
                </c:pt>
                <c:pt idx="1">
                  <c:v>109.23809523809524</c:v>
                </c:pt>
                <c:pt idx="2">
                  <c:v>166.38095238095238</c:v>
                </c:pt>
                <c:pt idx="3">
                  <c:v>261.61904761904765</c:v>
                </c:pt>
              </c:numCache>
            </c:numRef>
          </c:xVal>
          <c:yVal>
            <c:numRef>
              <c:f>'Isotherm and thermodynamics'!$J$111:$J$114</c:f>
              <c:numCache>
                <c:formatCode>General</c:formatCode>
                <c:ptCount val="4"/>
                <c:pt idx="0">
                  <c:v>5.6514657980456011</c:v>
                </c:pt>
                <c:pt idx="1">
                  <c:v>11.452820768846728</c:v>
                </c:pt>
                <c:pt idx="2">
                  <c:v>14.243783122706889</c:v>
                </c:pt>
                <c:pt idx="3">
                  <c:v>21.949660407510994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58704"/>
        <c:axId val="1416459248"/>
      </c:scatterChart>
      <c:valAx>
        <c:axId val="1416458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9248"/>
        <c:crosses val="autoZero"/>
        <c:crossBetween val="midCat"/>
      </c:valAx>
      <c:valAx>
        <c:axId val="1416459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587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Freundlich at 50 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3626917769299459E-3"/>
                  <c:y val="-8.500754147812970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0.3566x + 0.3271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0.9387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thermodynamics'!$M$111:$M$114</c:f>
              <c:numCache>
                <c:formatCode>General</c:formatCode>
                <c:ptCount val="4"/>
                <c:pt idx="0">
                  <c:v>1.3887438242613566</c:v>
                </c:pt>
                <c:pt idx="1">
                  <c:v>1.8963162104826086</c:v>
                </c:pt>
                <c:pt idx="2">
                  <c:v>2.1437580735519037</c:v>
                </c:pt>
                <c:pt idx="3">
                  <c:v>2.3620873513377121</c:v>
                </c:pt>
              </c:numCache>
            </c:numRef>
          </c:xVal>
          <c:yVal>
            <c:numRef>
              <c:f>'Isotherm and thermodynamics'!$K$111:$K$114</c:f>
              <c:numCache>
                <c:formatCode>General</c:formatCode>
                <c:ptCount val="4"/>
                <c:pt idx="0">
                  <c:v>0.79769611552407182</c:v>
                </c:pt>
                <c:pt idx="1">
                  <c:v>1.0438299150663162</c:v>
                </c:pt>
                <c:pt idx="2">
                  <c:v>1.1152141490640519</c:v>
                </c:pt>
                <c:pt idx="3">
                  <c:v>1.1300272797865181</c:v>
                </c:pt>
              </c:numCache>
            </c:numRef>
          </c:yVal>
          <c:smooth val="0"/>
        </c:ser>
        <c:ser>
          <c:idx val="1"/>
          <c:order val="1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75836783288687"/>
                  <c:y val="0.1864856711915534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0.3661x + 0.2224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0.9638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'Isotherm and thermodynamics'!$N$111:$N$114</c:f>
              <c:numCache>
                <c:formatCode>General</c:formatCode>
                <c:ptCount val="4"/>
                <c:pt idx="0">
                  <c:v>1.5191401757209355</c:v>
                </c:pt>
                <c:pt idx="1">
                  <c:v>2.0383741188313298</c:v>
                </c:pt>
                <c:pt idx="2">
                  <c:v>2.2211036059129929</c:v>
                </c:pt>
                <c:pt idx="3">
                  <c:v>2.4176693603506241</c:v>
                </c:pt>
              </c:numCache>
            </c:numRef>
          </c:xVal>
          <c:yVal>
            <c:numRef>
              <c:f>'Isotherm and thermodynamics'!$L$111:$L$114</c:f>
              <c:numCache>
                <c:formatCode>General</c:formatCode>
                <c:ptCount val="4"/>
                <c:pt idx="0">
                  <c:v>0.76697907207122962</c:v>
                </c:pt>
                <c:pt idx="1">
                  <c:v>0.97946165455965706</c:v>
                </c:pt>
                <c:pt idx="2">
                  <c:v>1.0674782534724665</c:v>
                </c:pt>
                <c:pt idx="3">
                  <c:v>1.0762415548743038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6464688"/>
        <c:axId val="1418236848"/>
      </c:scatterChart>
      <c:valAx>
        <c:axId val="1416464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C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defRPr>
                </a:pP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marL="0" marR="0" indent="0" algn="ctr" defTabSz="914400" rtl="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6848"/>
        <c:crosses val="autoZero"/>
        <c:crossBetween val="midCat"/>
      </c:valAx>
      <c:valAx>
        <c:axId val="1418236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log 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4646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JarpH2.2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131517935258093E-2"/>
                  <c:y val="-3.656496062992128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0.175x + 1.1802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0.9974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Energy'!$D$86:$D$91</c:f>
              <c:numCache>
                <c:formatCode>General</c:formatCode>
                <c:ptCount val="6"/>
                <c:pt idx="0">
                  <c:v>1.7558528428093645</c:v>
                </c:pt>
                <c:pt idx="1">
                  <c:v>3.0523255813953485</c:v>
                </c:pt>
                <c:pt idx="2">
                  <c:v>4.0229885057471266</c:v>
                </c:pt>
                <c:pt idx="3">
                  <c:v>4.756511891279728</c:v>
                </c:pt>
                <c:pt idx="4">
                  <c:v>8.0536912751677843</c:v>
                </c:pt>
                <c:pt idx="5">
                  <c:v>11.688311688311687</c:v>
                </c:pt>
              </c:numCache>
            </c:numRef>
          </c:yVal>
          <c:smooth val="0"/>
        </c:ser>
        <c:ser>
          <c:idx val="1"/>
          <c:order val="1"/>
          <c:tx>
            <c:v>40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6579593175853017"/>
                  <c:y val="1.004337999416739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0.1693x + 0.6938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0.9992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Energy'!$E$86:$E$91</c:f>
              <c:numCache>
                <c:formatCode>General</c:formatCode>
                <c:ptCount val="6"/>
                <c:pt idx="0">
                  <c:v>1.3944223107569722</c:v>
                </c:pt>
                <c:pt idx="1">
                  <c:v>2.4475524475524471</c:v>
                </c:pt>
                <c:pt idx="2">
                  <c:v>3.3404029692470836</c:v>
                </c:pt>
                <c:pt idx="3">
                  <c:v>4.0462427745664735</c:v>
                </c:pt>
                <c:pt idx="4">
                  <c:v>7.5471698113207539</c:v>
                </c:pt>
                <c:pt idx="5">
                  <c:v>10.787671232876711</c:v>
                </c:pt>
              </c:numCache>
            </c:numRef>
          </c:yVal>
          <c:smooth val="0"/>
        </c:ser>
        <c:ser>
          <c:idx val="2"/>
          <c:order val="2"/>
          <c:tx>
            <c:v>50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9129265091863511E-2"/>
                  <c:y val="0.191710775736366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0.1563x + 0.5641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0.9992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Energy'!$F$86:$F$91</c:f>
              <c:numCache>
                <c:formatCode>General</c:formatCode>
                <c:ptCount val="6"/>
                <c:pt idx="0">
                  <c:v>1.2027491408934707</c:v>
                </c:pt>
                <c:pt idx="1">
                  <c:v>2.2269353128313889</c:v>
                </c:pt>
                <c:pt idx="2">
                  <c:v>2.991452991452991</c:v>
                </c:pt>
                <c:pt idx="3">
                  <c:v>3.6426712922810061</c:v>
                </c:pt>
                <c:pt idx="4">
                  <c:v>6.8683565004088294</c:v>
                </c:pt>
                <c:pt idx="5">
                  <c:v>9.8978790259230163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34128"/>
        <c:axId val="1418236304"/>
      </c:scatterChart>
      <c:valAx>
        <c:axId val="1418234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t (min)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6304"/>
        <c:crosses val="autoZero"/>
        <c:crossBetween val="midCat"/>
      </c:valAx>
      <c:valAx>
        <c:axId val="1418236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t/q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t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>
                <a:solidFill>
                  <a:schemeClr val="tx1"/>
                </a:solidFill>
              </a:rPr>
              <a:t>JarpH1.7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7537401574803146E-2"/>
                  <c:y val="-9.6759259259259264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0.1871x + 1.5206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0.9942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Energy'!$G$86:$G$91</c:f>
              <c:numCache>
                <c:formatCode>General</c:formatCode>
                <c:ptCount val="6"/>
                <c:pt idx="0">
                  <c:v>1.9516728624535318</c:v>
                </c:pt>
                <c:pt idx="1">
                  <c:v>3.4539473684210522</c:v>
                </c:pt>
                <c:pt idx="2">
                  <c:v>4.6460176991150446</c:v>
                </c:pt>
                <c:pt idx="3">
                  <c:v>5.46875</c:v>
                </c:pt>
                <c:pt idx="4">
                  <c:v>9.1007583965330436</c:v>
                </c:pt>
                <c:pt idx="5">
                  <c:v>12.562313060817548</c:v>
                </c:pt>
              </c:numCache>
            </c:numRef>
          </c:yVal>
          <c:smooth val="0"/>
        </c:ser>
        <c:ser>
          <c:idx val="1"/>
          <c:order val="1"/>
          <c:tx>
            <c:v>40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468482064741908"/>
                  <c:y val="0.1409831583552056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0.1749x + 0.8051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0.9987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Energy'!$H$86:$H$91</c:f>
              <c:numCache>
                <c:formatCode>General</c:formatCode>
                <c:ptCount val="6"/>
                <c:pt idx="0">
                  <c:v>1.493598862019915</c:v>
                </c:pt>
                <c:pt idx="1">
                  <c:v>2.6992287917737792</c:v>
                </c:pt>
                <c:pt idx="2">
                  <c:v>3.5673839184597962</c:v>
                </c:pt>
                <c:pt idx="3">
                  <c:v>4.2084168336673349</c:v>
                </c:pt>
                <c:pt idx="4">
                  <c:v>7.8285181733457589</c:v>
                </c:pt>
                <c:pt idx="5">
                  <c:v>11.270125223613594</c:v>
                </c:pt>
              </c:numCache>
            </c:numRef>
          </c:yVal>
          <c:smooth val="0"/>
        </c:ser>
        <c:ser>
          <c:idx val="2"/>
          <c:order val="2"/>
          <c:tx>
            <c:v>50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7462598425196854E-2"/>
                  <c:y val="0.2816025080198308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0.1641x + 0.6611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0.9984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Energy'!$C$86:$C$91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'Activation Energy'!$I$86:$I$91</c:f>
              <c:numCache>
                <c:formatCode>General</c:formatCode>
                <c:ptCount val="6"/>
                <c:pt idx="0">
                  <c:v>1.2836185819070904</c:v>
                </c:pt>
                <c:pt idx="1">
                  <c:v>2.4054982817869415</c:v>
                </c:pt>
                <c:pt idx="2">
                  <c:v>3.1882591093117409</c:v>
                </c:pt>
                <c:pt idx="3">
                  <c:v>3.9325842696629207</c:v>
                </c:pt>
                <c:pt idx="4">
                  <c:v>7.3813708260105431</c:v>
                </c:pt>
                <c:pt idx="5">
                  <c:v>10.387469084913437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27600"/>
        <c:axId val="1418228144"/>
      </c:scatterChart>
      <c:valAx>
        <c:axId val="14182276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t (min)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8144"/>
        <c:crosses val="autoZero"/>
        <c:crossBetween val="midCat"/>
      </c:valAx>
      <c:valAx>
        <c:axId val="1418228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t/q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t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76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4225721784778"/>
          <c:y val="0.1111111111111111"/>
          <c:w val="0.78884951881014875"/>
          <c:h val="0.82775444736074655"/>
        </c:manualLayout>
      </c:layout>
      <c:scatterChart>
        <c:scatterStyle val="lineMarker"/>
        <c:varyColors val="0"/>
        <c:ser>
          <c:idx val="0"/>
          <c:order val="0"/>
          <c:tx>
            <c:v>JarpH2.2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75940507436573"/>
                  <c:y val="-0.2580383274008556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-2527.3x + 4.754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0.8324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Energy'!$J$102:$J$104</c:f>
              <c:numCache>
                <c:formatCode>General</c:formatCode>
                <c:ptCount val="3"/>
                <c:pt idx="0">
                  <c:v>3.3003300330033004E-3</c:v>
                </c:pt>
                <c:pt idx="1">
                  <c:v>3.1948881789137379E-3</c:v>
                </c:pt>
                <c:pt idx="2">
                  <c:v>3.0959752321981426E-3</c:v>
                </c:pt>
              </c:numCache>
            </c:numRef>
          </c:xVal>
          <c:yVal>
            <c:numRef>
              <c:f>'Activation Energy'!$K$102:$K$104</c:f>
              <c:numCache>
                <c:formatCode>General</c:formatCode>
                <c:ptCount val="3"/>
                <c:pt idx="0">
                  <c:v>-3.6516225257581771</c:v>
                </c:pt>
                <c:pt idx="1">
                  <c:v>-3.1865944352396069</c:v>
                </c:pt>
                <c:pt idx="2">
                  <c:v>-3.1394323448732058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29232"/>
        <c:axId val="1418227056"/>
      </c:scatterChart>
      <c:valAx>
        <c:axId val="14182292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1/T</a:t>
                </a:r>
              </a:p>
            </c:rich>
          </c:tx>
          <c:layout>
            <c:manualLayout>
              <c:xMode val="edge"/>
              <c:yMode val="edge"/>
              <c:x val="0.51113079615048118"/>
              <c:y val="2.21988918051910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7056"/>
        <c:crosses val="autoZero"/>
        <c:crossBetween val="midCat"/>
      </c:valAx>
      <c:valAx>
        <c:axId val="1418227056"/>
        <c:scaling>
          <c:orientation val="minMax"/>
          <c:max val="-3"/>
          <c:min val="-3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 k</a:t>
                </a:r>
                <a:r>
                  <a:rPr lang="en-GB" baseline="-25000">
                    <a:solidFill>
                      <a:schemeClr val="tx1"/>
                    </a:solidFill>
                  </a:rPr>
                  <a:t>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4225721784778"/>
          <c:y val="0.1111111111111111"/>
          <c:w val="0.78884951881014875"/>
          <c:h val="0.82775444736074655"/>
        </c:manualLayout>
      </c:layout>
      <c:scatterChart>
        <c:scatterStyle val="lineMarker"/>
        <c:varyColors val="0"/>
        <c:ser>
          <c:idx val="0"/>
          <c:order val="0"/>
          <c:tx>
            <c:v>JarpH1.7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4221237970253721"/>
                  <c:y val="-0.2794977654820174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-2813.8x + 5.5819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0.8532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'Activation Energy'!$U$102:$U$104</c:f>
              <c:numCache>
                <c:formatCode>General</c:formatCode>
                <c:ptCount val="3"/>
                <c:pt idx="0">
                  <c:v>3.3003300330033004E-3</c:v>
                </c:pt>
                <c:pt idx="1">
                  <c:v>3.1948881789137379E-3</c:v>
                </c:pt>
                <c:pt idx="2">
                  <c:v>3.0959752321981426E-3</c:v>
                </c:pt>
              </c:numCache>
            </c:numRef>
          </c:xVal>
          <c:yVal>
            <c:numRef>
              <c:f>'Activation Energy'!$V$102:$V$104</c:f>
              <c:numCache>
                <c:formatCode>General</c:formatCode>
                <c:ptCount val="3"/>
                <c:pt idx="0">
                  <c:v>-3.7713290852163857</c:v>
                </c:pt>
                <c:pt idx="1">
                  <c:v>-3.2702930082389594</c:v>
                </c:pt>
                <c:pt idx="2">
                  <c:v>-3.2007083971295791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39024"/>
        <c:axId val="1418234672"/>
      </c:scatterChart>
      <c:valAx>
        <c:axId val="14182390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1/T</a:t>
                </a:r>
              </a:p>
            </c:rich>
          </c:tx>
          <c:layout>
            <c:manualLayout>
              <c:xMode val="edge"/>
              <c:yMode val="edge"/>
              <c:x val="0.51113079615048118"/>
              <c:y val="2.21988918051910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4672"/>
        <c:crosses val="autoZero"/>
        <c:crossBetween val="midCat"/>
      </c:valAx>
      <c:valAx>
        <c:axId val="1418234672"/>
        <c:scaling>
          <c:orientation val="minMax"/>
          <c:max val="-3"/>
          <c:min val="-3.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 k</a:t>
                </a:r>
                <a:r>
                  <a:rPr lang="en-GB" baseline="-25000">
                    <a:solidFill>
                      <a:schemeClr val="tx1"/>
                    </a:solidFill>
                  </a:rPr>
                  <a:t>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9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PZC!$C$6:$C$15</c:f>
              <c:numCache>
                <c:formatCode>General</c:formatCode>
                <c:ptCount val="10"/>
                <c:pt idx="0">
                  <c:v>2</c:v>
                </c:pt>
                <c:pt idx="1">
                  <c:v>3.05</c:v>
                </c:pt>
                <c:pt idx="2">
                  <c:v>4.05</c:v>
                </c:pt>
                <c:pt idx="3">
                  <c:v>4.8899999999999997</c:v>
                </c:pt>
                <c:pt idx="4">
                  <c:v>5.9</c:v>
                </c:pt>
                <c:pt idx="5">
                  <c:v>7.06</c:v>
                </c:pt>
                <c:pt idx="6">
                  <c:v>8.08</c:v>
                </c:pt>
                <c:pt idx="7">
                  <c:v>8.9</c:v>
                </c:pt>
                <c:pt idx="8">
                  <c:v>10.050000000000001</c:v>
                </c:pt>
                <c:pt idx="9">
                  <c:v>10.93</c:v>
                </c:pt>
              </c:numCache>
            </c:numRef>
          </c:xVal>
          <c:yVal>
            <c:numRef>
              <c:f>PZC!$H$6:$H$15</c:f>
              <c:numCache>
                <c:formatCode>General</c:formatCode>
                <c:ptCount val="10"/>
                <c:pt idx="0">
                  <c:v>-0.11499999999999999</c:v>
                </c:pt>
                <c:pt idx="1">
                  <c:v>0.31999999999999984</c:v>
                </c:pt>
                <c:pt idx="2">
                  <c:v>1.2749999999999999</c:v>
                </c:pt>
                <c:pt idx="3">
                  <c:v>2.1099999999999994</c:v>
                </c:pt>
                <c:pt idx="4">
                  <c:v>3.0850000000000004</c:v>
                </c:pt>
                <c:pt idx="5">
                  <c:v>4.1499999999999995</c:v>
                </c:pt>
                <c:pt idx="6">
                  <c:v>5.2949999999999999</c:v>
                </c:pt>
                <c:pt idx="7">
                  <c:v>6.1150000000000002</c:v>
                </c:pt>
                <c:pt idx="8">
                  <c:v>7.2700000000000005</c:v>
                </c:pt>
                <c:pt idx="9">
                  <c:v>7.93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28688"/>
        <c:axId val="1418233040"/>
      </c:scatterChart>
      <c:valAx>
        <c:axId val="14182286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</a:p>
            </c:rich>
          </c:tx>
          <c:layout>
            <c:manualLayout>
              <c:xMode val="edge"/>
              <c:yMode val="edge"/>
              <c:x val="0.53046214115565848"/>
              <c:y val="0.70910064904816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3040"/>
        <c:crosses val="autoZero"/>
        <c:crossBetween val="midCat"/>
        <c:majorUnit val="2"/>
      </c:valAx>
      <c:valAx>
        <c:axId val="14182330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  <a:r>
                  <a:rPr lang="en-GB">
                    <a:solidFill>
                      <a:schemeClr val="tx1"/>
                    </a:solidFill>
                  </a:rPr>
                  <a:t>-pH</a:t>
                </a:r>
                <a:r>
                  <a:rPr lang="en-GB" baseline="-25000">
                    <a:solidFill>
                      <a:schemeClr val="tx1"/>
                    </a:solidFill>
                  </a:rPr>
                  <a:t>f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Jar pH2.2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Kinetics!$S$41:$S$49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0.16495721976846467</c:v>
                  </c:pt>
                  <c:pt idx="2">
                    <c:v>0.10910894511799551</c:v>
                  </c:pt>
                  <c:pt idx="3">
                    <c:v>0.18898223650461388</c:v>
                  </c:pt>
                  <c:pt idx="4">
                    <c:v>0.16495721976846392</c:v>
                  </c:pt>
                  <c:pt idx="5">
                    <c:v>0.10910894511799628</c:v>
                  </c:pt>
                  <c:pt idx="6">
                    <c:v>0.10910894511799581</c:v>
                  </c:pt>
                  <c:pt idx="7">
                    <c:v>8.247860988423196E-2</c:v>
                  </c:pt>
                  <c:pt idx="8">
                    <c:v>8.247860988423196E-2</c:v>
                  </c:pt>
                </c:numCache>
              </c:numRef>
            </c:plus>
            <c:minus>
              <c:numRef>
                <c:f>Kinetics!$S$41:$S$49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0.16495721976846467</c:v>
                  </c:pt>
                  <c:pt idx="2">
                    <c:v>0.10910894511799551</c:v>
                  </c:pt>
                  <c:pt idx="3">
                    <c:v>0.18898223650461388</c:v>
                  </c:pt>
                  <c:pt idx="4">
                    <c:v>0.16495721976846392</c:v>
                  </c:pt>
                  <c:pt idx="5">
                    <c:v>0.10910894511799628</c:v>
                  </c:pt>
                  <c:pt idx="6">
                    <c:v>0.10910894511799581</c:v>
                  </c:pt>
                  <c:pt idx="7">
                    <c:v>8.247860988423196E-2</c:v>
                  </c:pt>
                  <c:pt idx="8">
                    <c:v>8.247860988423196E-2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Kinetics!$Q$41:$Q$49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40</c:v>
                </c:pt>
                <c:pt idx="6">
                  <c:v>60</c:v>
                </c:pt>
                <c:pt idx="7">
                  <c:v>80</c:v>
                </c:pt>
                <c:pt idx="8">
                  <c:v>120</c:v>
                </c:pt>
              </c:numCache>
            </c:numRef>
          </c:xVal>
          <c:yVal>
            <c:numRef>
              <c:f>Kinetics!$R$41:$R$49</c:f>
              <c:numCache>
                <c:formatCode>General</c:formatCode>
                <c:ptCount val="9"/>
                <c:pt idx="0">
                  <c:v>0</c:v>
                </c:pt>
                <c:pt idx="1">
                  <c:v>2.8476190476190477</c:v>
                </c:pt>
                <c:pt idx="2">
                  <c:v>3.2761904761904765</c:v>
                </c:pt>
                <c:pt idx="3">
                  <c:v>3.7285714285714282</c:v>
                </c:pt>
                <c:pt idx="4">
                  <c:v>4.2047619047619049</c:v>
                </c:pt>
                <c:pt idx="5">
                  <c:v>4.9666666666666668</c:v>
                </c:pt>
                <c:pt idx="6">
                  <c:v>5.1333333333333337</c:v>
                </c:pt>
                <c:pt idx="7">
                  <c:v>5.1809523809523812</c:v>
                </c:pt>
                <c:pt idx="8">
                  <c:v>5.1809523809523812</c:v>
                </c:pt>
              </c:numCache>
            </c:numRef>
          </c:yVal>
          <c:smooth val="1"/>
        </c:ser>
        <c:ser>
          <c:idx val="1"/>
          <c:order val="1"/>
          <c:tx>
            <c:v>Jar pH1.7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Kinetics!$U$41:$U$49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8.247860988423221E-2</c:v>
                  </c:pt>
                  <c:pt idx="2">
                    <c:v>0.10910894511799624</c:v>
                  </c:pt>
                  <c:pt idx="3">
                    <c:v>7.1428571428570731E-2</c:v>
                  </c:pt>
                  <c:pt idx="4">
                    <c:v>0.14285714285714302</c:v>
                  </c:pt>
                  <c:pt idx="5">
                    <c:v>0.21821789023599247</c:v>
                  </c:pt>
                  <c:pt idx="6">
                    <c:v>4.1239304942116493E-2</c:v>
                  </c:pt>
                  <c:pt idx="7">
                    <c:v>7.1428571428571619E-2</c:v>
                  </c:pt>
                  <c:pt idx="8">
                    <c:v>7.1428571428571619E-2</c:v>
                  </c:pt>
                </c:numCache>
              </c:numRef>
            </c:plus>
            <c:minus>
              <c:numRef>
                <c:f>Kinetics!$U$41:$U$49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8.247860988423221E-2</c:v>
                  </c:pt>
                  <c:pt idx="2">
                    <c:v>0.10910894511799624</c:v>
                  </c:pt>
                  <c:pt idx="3">
                    <c:v>7.1428571428570731E-2</c:v>
                  </c:pt>
                  <c:pt idx="4">
                    <c:v>0.14285714285714302</c:v>
                  </c:pt>
                  <c:pt idx="5">
                    <c:v>0.21821789023599247</c:v>
                  </c:pt>
                  <c:pt idx="6">
                    <c:v>4.1239304942116493E-2</c:v>
                  </c:pt>
                  <c:pt idx="7">
                    <c:v>7.1428571428571619E-2</c:v>
                  </c:pt>
                  <c:pt idx="8">
                    <c:v>7.1428571428571619E-2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Kinetics!$Q$41:$Q$49</c:f>
              <c:numCache>
                <c:formatCode>General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40</c:v>
                </c:pt>
                <c:pt idx="6">
                  <c:v>60</c:v>
                </c:pt>
                <c:pt idx="7">
                  <c:v>80</c:v>
                </c:pt>
                <c:pt idx="8">
                  <c:v>120</c:v>
                </c:pt>
              </c:numCache>
            </c:numRef>
          </c:xVal>
          <c:yVal>
            <c:numRef>
              <c:f>Kinetics!$T$41:$T$49</c:f>
              <c:numCache>
                <c:formatCode>General</c:formatCode>
                <c:ptCount val="9"/>
                <c:pt idx="0">
                  <c:v>0</c:v>
                </c:pt>
                <c:pt idx="1">
                  <c:v>2.5619047619047617</c:v>
                </c:pt>
                <c:pt idx="2">
                  <c:v>2.8952380952380956</c:v>
                </c:pt>
                <c:pt idx="3">
                  <c:v>3.2285714285714282</c:v>
                </c:pt>
                <c:pt idx="4">
                  <c:v>3.657142857142857</c:v>
                </c:pt>
                <c:pt idx="5">
                  <c:v>4.3952380952380956</c:v>
                </c:pt>
                <c:pt idx="6">
                  <c:v>4.7761904761904761</c:v>
                </c:pt>
                <c:pt idx="7">
                  <c:v>4.9428571428571431</c:v>
                </c:pt>
                <c:pt idx="8">
                  <c:v>4.9428571428571431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8481712"/>
        <c:axId val="1298482256"/>
      </c:scatterChart>
      <c:valAx>
        <c:axId val="129848171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Contact 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82256"/>
        <c:crosses val="autoZero"/>
        <c:crossBetween val="midCat"/>
      </c:valAx>
      <c:valAx>
        <c:axId val="12984822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q</a:t>
                </a:r>
                <a:r>
                  <a:rPr lang="en-GB" sz="1000" b="0" i="0" u="none" strike="noStrike" baseline="-25000">
                    <a:solidFill>
                      <a:schemeClr val="tx1"/>
                    </a:solidFill>
                    <a:effectLst/>
                  </a:rPr>
                  <a:t>t</a:t>
                </a:r>
                <a:r>
                  <a:rPr lang="en-GB" sz="1000" b="0" i="0" u="none" strike="noStrike" baseline="0">
                    <a:solidFill>
                      <a:schemeClr val="tx1"/>
                    </a:solidFill>
                    <a:effectLst/>
                  </a:rPr>
                  <a:t> (mg/g)</a:t>
                </a:r>
                <a:r>
                  <a:rPr lang="en-GB" sz="1000" b="0" i="0" u="none" strike="noStrike" baseline="0">
                    <a:solidFill>
                      <a:schemeClr val="tx1"/>
                    </a:solidFill>
                  </a:rPr>
                  <a:t> </a:t>
                </a:r>
                <a:endParaRPr lang="en-GB" b="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81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PZC!$C$24:$C$33</c:f>
              <c:numCache>
                <c:formatCode>General</c:formatCode>
                <c:ptCount val="10"/>
                <c:pt idx="0">
                  <c:v>2</c:v>
                </c:pt>
                <c:pt idx="1">
                  <c:v>3.05</c:v>
                </c:pt>
                <c:pt idx="2">
                  <c:v>4.05</c:v>
                </c:pt>
                <c:pt idx="3">
                  <c:v>4.8899999999999997</c:v>
                </c:pt>
                <c:pt idx="4">
                  <c:v>5.9</c:v>
                </c:pt>
                <c:pt idx="5">
                  <c:v>7.06</c:v>
                </c:pt>
                <c:pt idx="6">
                  <c:v>8.08</c:v>
                </c:pt>
                <c:pt idx="7">
                  <c:v>8.9</c:v>
                </c:pt>
                <c:pt idx="8">
                  <c:v>10.050000000000001</c:v>
                </c:pt>
                <c:pt idx="9">
                  <c:v>10.93</c:v>
                </c:pt>
              </c:numCache>
            </c:numRef>
          </c:xVal>
          <c:yVal>
            <c:numRef>
              <c:f>PZC!$F$24:$F$33</c:f>
              <c:numCache>
                <c:formatCode>General</c:formatCode>
                <c:ptCount val="10"/>
                <c:pt idx="0">
                  <c:v>-0.16000000000000014</c:v>
                </c:pt>
                <c:pt idx="1">
                  <c:v>0.33999999999999986</c:v>
                </c:pt>
                <c:pt idx="2">
                  <c:v>1.1999999999999997</c:v>
                </c:pt>
                <c:pt idx="3">
                  <c:v>1.9399999999999995</c:v>
                </c:pt>
                <c:pt idx="4">
                  <c:v>3.0000000000000004</c:v>
                </c:pt>
                <c:pt idx="5">
                  <c:v>4.17</c:v>
                </c:pt>
                <c:pt idx="6">
                  <c:v>5.13</c:v>
                </c:pt>
                <c:pt idx="7">
                  <c:v>5.98</c:v>
                </c:pt>
                <c:pt idx="8">
                  <c:v>7.07</c:v>
                </c:pt>
                <c:pt idx="9">
                  <c:v>7.8599999999999994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40656"/>
        <c:axId val="1418229776"/>
      </c:scatterChart>
      <c:valAx>
        <c:axId val="1418240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</a:p>
            </c:rich>
          </c:tx>
          <c:layout>
            <c:manualLayout>
              <c:xMode val="edge"/>
              <c:yMode val="edge"/>
              <c:x val="0.53046214115565848"/>
              <c:y val="0.70910064904816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29776"/>
        <c:crosses val="autoZero"/>
        <c:crossBetween val="midCat"/>
        <c:majorUnit val="2"/>
      </c:valAx>
      <c:valAx>
        <c:axId val="1418229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  <a:r>
                  <a:rPr lang="en-GB">
                    <a:solidFill>
                      <a:schemeClr val="tx1"/>
                    </a:solidFill>
                  </a:rPr>
                  <a:t>-pH</a:t>
                </a:r>
                <a:r>
                  <a:rPr lang="en-GB" baseline="-25000">
                    <a:solidFill>
                      <a:schemeClr val="tx1"/>
                    </a:solidFill>
                  </a:rPr>
                  <a:t>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40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PZC!$C$42:$C$51</c:f>
              <c:numCache>
                <c:formatCode>General</c:formatCode>
                <c:ptCount val="10"/>
                <c:pt idx="0">
                  <c:v>2</c:v>
                </c:pt>
                <c:pt idx="1">
                  <c:v>3.04</c:v>
                </c:pt>
                <c:pt idx="2">
                  <c:v>4.0599999999999996</c:v>
                </c:pt>
                <c:pt idx="3">
                  <c:v>5.0999999999999996</c:v>
                </c:pt>
                <c:pt idx="4">
                  <c:v>5.99</c:v>
                </c:pt>
                <c:pt idx="5">
                  <c:v>7.1</c:v>
                </c:pt>
                <c:pt idx="6">
                  <c:v>7.91</c:v>
                </c:pt>
                <c:pt idx="7">
                  <c:v>9.01</c:v>
                </c:pt>
                <c:pt idx="8">
                  <c:v>9.98</c:v>
                </c:pt>
                <c:pt idx="9">
                  <c:v>10.97</c:v>
                </c:pt>
              </c:numCache>
            </c:numRef>
          </c:xVal>
          <c:yVal>
            <c:numRef>
              <c:f>PZC!$F$42:$F$51</c:f>
              <c:numCache>
                <c:formatCode>General</c:formatCode>
                <c:ptCount val="10"/>
                <c:pt idx="0">
                  <c:v>-0.10000000000000009</c:v>
                </c:pt>
                <c:pt idx="1">
                  <c:v>0.37000000000000011</c:v>
                </c:pt>
                <c:pt idx="2">
                  <c:v>1.4099999999999997</c:v>
                </c:pt>
                <c:pt idx="3">
                  <c:v>2.4499999999999997</c:v>
                </c:pt>
                <c:pt idx="4">
                  <c:v>3.3200000000000003</c:v>
                </c:pt>
                <c:pt idx="5">
                  <c:v>4.24</c:v>
                </c:pt>
                <c:pt idx="6">
                  <c:v>5.2200000000000006</c:v>
                </c:pt>
                <c:pt idx="7">
                  <c:v>6.3699999999999992</c:v>
                </c:pt>
                <c:pt idx="8">
                  <c:v>7.32</c:v>
                </c:pt>
                <c:pt idx="9">
                  <c:v>8.120000000000001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8230320"/>
        <c:axId val="1418231408"/>
      </c:scatterChart>
      <c:valAx>
        <c:axId val="14182303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</a:p>
            </c:rich>
          </c:tx>
          <c:layout>
            <c:manualLayout>
              <c:xMode val="edge"/>
              <c:yMode val="edge"/>
              <c:x val="0.53046214115565848"/>
              <c:y val="0.709100649048166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1408"/>
        <c:crosses val="autoZero"/>
        <c:crossBetween val="midCat"/>
        <c:majorUnit val="2"/>
      </c:valAx>
      <c:valAx>
        <c:axId val="14182314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  <a:r>
                  <a:rPr lang="en-GB" baseline="-25000">
                    <a:solidFill>
                      <a:schemeClr val="tx1"/>
                    </a:solidFill>
                  </a:rPr>
                  <a:t>i</a:t>
                </a:r>
                <a:r>
                  <a:rPr lang="en-GB">
                    <a:solidFill>
                      <a:schemeClr val="tx1"/>
                    </a:solidFill>
                  </a:rPr>
                  <a:t>-pH</a:t>
                </a:r>
                <a:r>
                  <a:rPr lang="en-GB" baseline="-25000">
                    <a:solidFill>
                      <a:schemeClr val="tx1"/>
                    </a:solidFill>
                  </a:rPr>
                  <a:t>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823032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Sheet1!$C$20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(Sheet1!$E$20,Sheet1!$G$20)</c:f>
                <c:numCache>
                  <c:formatCode>General</c:formatCode>
                  <c:ptCount val="2"/>
                  <c:pt idx="0">
                    <c:v>1.0997147984564302</c:v>
                  </c:pt>
                  <c:pt idx="1">
                    <c:v>2.9095718698132389</c:v>
                  </c:pt>
                </c:numCache>
              </c:numRef>
            </c:plus>
            <c:minus>
              <c:numRef>
                <c:f>(Sheet1!$E$20,Sheet1!$G$20)</c:f>
                <c:numCache>
                  <c:formatCode>General</c:formatCode>
                  <c:ptCount val="2"/>
                  <c:pt idx="0">
                    <c:v>1.0997147984564302</c:v>
                  </c:pt>
                  <c:pt idx="1">
                    <c:v>2.9095718698132389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(Sheet1!$D$19,Sheet1!$F$19)</c:f>
              <c:numCache>
                <c:formatCode>General</c:formatCode>
                <c:ptCount val="2"/>
                <c:pt idx="0">
                  <c:v>1.5</c:v>
                </c:pt>
                <c:pt idx="1">
                  <c:v>2</c:v>
                </c:pt>
              </c:numCache>
            </c:numRef>
          </c:cat>
          <c:val>
            <c:numRef>
              <c:f>(Sheet1!$D$20,Sheet1!$F$20)</c:f>
              <c:numCache>
                <c:formatCode>General</c:formatCode>
                <c:ptCount val="2"/>
                <c:pt idx="0">
                  <c:v>40.507936507936513</c:v>
                </c:pt>
                <c:pt idx="1">
                  <c:v>47.492063492063494</c:v>
                </c:pt>
              </c:numCache>
            </c:numRef>
          </c:val>
        </c:ser>
        <c:ser>
          <c:idx val="1"/>
          <c:order val="1"/>
          <c:tx>
            <c:strRef>
              <c:f>Sheet1!$C$21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(Sheet1!$E$21,Sheet1!$G$21)</c:f>
                <c:numCache>
                  <c:formatCode>General</c:formatCode>
                  <c:ptCount val="2"/>
                  <c:pt idx="0">
                    <c:v>1.9047619047619015</c:v>
                  </c:pt>
                  <c:pt idx="1">
                    <c:v>1.9047619047619084</c:v>
                  </c:pt>
                </c:numCache>
              </c:numRef>
            </c:plus>
            <c:minus>
              <c:numRef>
                <c:f>(Sheet1!$E$21,Sheet1!$G$21)</c:f>
                <c:numCache>
                  <c:formatCode>General</c:formatCode>
                  <c:ptCount val="2"/>
                  <c:pt idx="0">
                    <c:v>1.9047619047619015</c:v>
                  </c:pt>
                  <c:pt idx="1">
                    <c:v>1.9047619047619084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(Sheet1!$D$19,Sheet1!$F$19)</c:f>
              <c:numCache>
                <c:formatCode>General</c:formatCode>
                <c:ptCount val="2"/>
                <c:pt idx="0">
                  <c:v>1.5</c:v>
                </c:pt>
                <c:pt idx="1">
                  <c:v>2</c:v>
                </c:pt>
              </c:numCache>
            </c:numRef>
          </c:cat>
          <c:val>
            <c:numRef>
              <c:f>(Sheet1!$D$21,Sheet1!$F$21)</c:f>
              <c:numCache>
                <c:formatCode>General</c:formatCode>
                <c:ptCount val="2"/>
                <c:pt idx="0">
                  <c:v>31.61904761904762</c:v>
                </c:pt>
                <c:pt idx="1">
                  <c:v>35.428571428571423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454413936"/>
        <c:axId val="1454416112"/>
      </c:barChart>
      <c:catAx>
        <c:axId val="14544139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pH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416112"/>
        <c:crosses val="autoZero"/>
        <c:auto val="1"/>
        <c:lblAlgn val="ctr"/>
        <c:lblOffset val="100"/>
        <c:noMultiLvlLbl val="0"/>
      </c:catAx>
      <c:valAx>
        <c:axId val="145441611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4413936"/>
        <c:crosses val="autoZero"/>
        <c:crossBetween val="between"/>
        <c:majorUnit val="20"/>
      </c:valAx>
      <c:spPr>
        <a:noFill/>
        <a:ln w="25400"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6261811023622043E-2"/>
                  <c:y val="-4.383165645960913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-0.0727x + 1.3595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0.9966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Kinetics!$C$74:$C$79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Kinetics!$D$74:$D$79</c:f>
              <c:numCache>
                <c:formatCode>General</c:formatCode>
                <c:ptCount val="6"/>
                <c:pt idx="0">
                  <c:v>0.84729786038720367</c:v>
                </c:pt>
                <c:pt idx="1">
                  <c:v>0.64435701639051324</c:v>
                </c:pt>
                <c:pt idx="2">
                  <c:v>0.37320424588994339</c:v>
                </c:pt>
                <c:pt idx="3">
                  <c:v>-2.4097551579060416E-2</c:v>
                </c:pt>
                <c:pt idx="4">
                  <c:v>-1.5404450409471484</c:v>
                </c:pt>
                <c:pt idx="5">
                  <c:v>-3.0445224377234266</c:v>
                </c:pt>
              </c:numCache>
            </c:numRef>
          </c:yVal>
          <c:smooth val="0"/>
        </c:ser>
        <c:ser>
          <c:idx val="1"/>
          <c:order val="1"/>
          <c:tx>
            <c:v>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671452833101745"/>
                  <c:y val="0.1071697287839020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-0.0484x + 1.2069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0.9927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Kinetics!$C$74:$C$79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Kinetics!$I$74:$I$79</c:f>
              <c:numCache>
                <c:formatCode>General</c:formatCode>
                <c:ptCount val="6"/>
                <c:pt idx="0">
                  <c:v>0.86750056770472328</c:v>
                </c:pt>
                <c:pt idx="1">
                  <c:v>0.71667767797013937</c:v>
                </c:pt>
                <c:pt idx="2">
                  <c:v>0.53899650073268734</c:v>
                </c:pt>
                <c:pt idx="3">
                  <c:v>0.25131442828090633</c:v>
                </c:pt>
                <c:pt idx="4">
                  <c:v>-0.60217540235421896</c:v>
                </c:pt>
                <c:pt idx="5">
                  <c:v>-1.7917594692280532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427760"/>
        <c:axId val="1415425584"/>
      </c:scatterChart>
      <c:valAx>
        <c:axId val="141542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25584"/>
        <c:crosses val="autoZero"/>
        <c:crossBetween val="midCat"/>
      </c:valAx>
      <c:valAx>
        <c:axId val="141542558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ln (q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e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-q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t</a:t>
                </a: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)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277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1.6657042869641293E-2"/>
                  <c:y val="0.4738582677165354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0.175x + 1.1802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0.9974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Kinetics!$C$74:$C$79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Kinetics!$E$74:$E$79</c:f>
              <c:numCache>
                <c:formatCode>General</c:formatCode>
                <c:ptCount val="6"/>
                <c:pt idx="0">
                  <c:v>1.7558528428093645</c:v>
                </c:pt>
                <c:pt idx="1">
                  <c:v>3.0523255813953485</c:v>
                </c:pt>
                <c:pt idx="2">
                  <c:v>4.0229885057471266</c:v>
                </c:pt>
                <c:pt idx="3">
                  <c:v>4.756511891279728</c:v>
                </c:pt>
                <c:pt idx="4">
                  <c:v>8.0536912751677843</c:v>
                </c:pt>
                <c:pt idx="5">
                  <c:v>11.688311688311687</c:v>
                </c:pt>
              </c:numCache>
            </c:numRef>
          </c:yVal>
          <c:smooth val="0"/>
        </c:ser>
        <c:ser>
          <c:idx val="1"/>
          <c:order val="1"/>
          <c:tx>
            <c:v>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73429571303587"/>
                  <c:y val="9.115303295421403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0.1871x + 1.5206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0.9942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Kinetics!$C$74:$C$79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</c:numCache>
            </c:numRef>
          </c:xVal>
          <c:yVal>
            <c:numRef>
              <c:f>Kinetics!$J$74:$J$79</c:f>
              <c:numCache>
                <c:formatCode>General</c:formatCode>
                <c:ptCount val="6"/>
                <c:pt idx="0">
                  <c:v>1.9516728624535318</c:v>
                </c:pt>
                <c:pt idx="1">
                  <c:v>3.4539473684210522</c:v>
                </c:pt>
                <c:pt idx="2">
                  <c:v>4.6460176991150446</c:v>
                </c:pt>
                <c:pt idx="3">
                  <c:v>5.46875</c:v>
                </c:pt>
                <c:pt idx="4">
                  <c:v>9.1007583965330436</c:v>
                </c:pt>
                <c:pt idx="5">
                  <c:v>12.562313060817548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431568"/>
        <c:axId val="1415426128"/>
      </c:scatterChart>
      <c:valAx>
        <c:axId val="1415431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26128"/>
        <c:crosses val="autoZero"/>
        <c:crossBetween val="midCat"/>
      </c:valAx>
      <c:valAx>
        <c:axId val="14154261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baseline="0">
                    <a:solidFill>
                      <a:schemeClr val="tx1"/>
                    </a:solidFill>
                    <a:effectLst/>
                  </a:rPr>
                  <a:t>t/q</a:t>
                </a:r>
                <a:r>
                  <a:rPr lang="en-GB" sz="1000" b="0" i="0" baseline="-25000">
                    <a:solidFill>
                      <a:schemeClr val="tx1"/>
                    </a:solidFill>
                    <a:effectLst/>
                  </a:rPr>
                  <a:t>t</a:t>
                </a:r>
                <a:endParaRPr lang="en-GB" sz="1000">
                  <a:solidFill>
                    <a:schemeClr val="tx1"/>
                  </a:solidFill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31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pH2.2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14905949256343"/>
                  <c:y val="5.5555555555555552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0.435x + 2.0096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0.953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Kinetics!$G$74:$G$79</c:f>
              <c:numCache>
                <c:formatCode>General</c:formatCode>
                <c:ptCount val="6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  <c:pt idx="5">
                  <c:v>7.745966692414834</c:v>
                </c:pt>
              </c:numCache>
            </c:numRef>
          </c:xVal>
          <c:yVal>
            <c:numRef>
              <c:f>Kinetics!$F$74:$F$79</c:f>
              <c:numCache>
                <c:formatCode>General</c:formatCode>
                <c:ptCount val="6"/>
                <c:pt idx="0">
                  <c:v>2.8476190476190477</c:v>
                </c:pt>
                <c:pt idx="1">
                  <c:v>3.2761904761904765</c:v>
                </c:pt>
                <c:pt idx="2">
                  <c:v>3.7285714285714282</c:v>
                </c:pt>
                <c:pt idx="3">
                  <c:v>4.2047619047619049</c:v>
                </c:pt>
                <c:pt idx="4">
                  <c:v>4.9666666666666668</c:v>
                </c:pt>
                <c:pt idx="5">
                  <c:v>5.1333333333333337</c:v>
                </c:pt>
              </c:numCache>
            </c:numRef>
          </c:yVal>
          <c:smooth val="0"/>
        </c:ser>
        <c:ser>
          <c:idx val="1"/>
          <c:order val="1"/>
          <c:tx>
            <c:v>pH1.7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5.2509405074365703E-2"/>
                  <c:y val="0.2715882910469524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0.418x + 1.648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0.9867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Kinetics!$L$74:$L$79</c:f>
              <c:numCache>
                <c:formatCode>General</c:formatCode>
                <c:ptCount val="6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  <c:pt idx="5">
                  <c:v>7.745966692414834</c:v>
                </c:pt>
              </c:numCache>
            </c:numRef>
          </c:xVal>
          <c:yVal>
            <c:numRef>
              <c:f>Kinetics!$K$74:$K$79</c:f>
              <c:numCache>
                <c:formatCode>General</c:formatCode>
                <c:ptCount val="6"/>
                <c:pt idx="0">
                  <c:v>2.5619047619047617</c:v>
                </c:pt>
                <c:pt idx="1">
                  <c:v>2.8952380952380956</c:v>
                </c:pt>
                <c:pt idx="2">
                  <c:v>3.2285714285714282</c:v>
                </c:pt>
                <c:pt idx="3">
                  <c:v>3.657142857142857</c:v>
                </c:pt>
                <c:pt idx="4">
                  <c:v>4.3952380952380956</c:v>
                </c:pt>
                <c:pt idx="5">
                  <c:v>4.7761904761904761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432112"/>
        <c:axId val="1415429392"/>
      </c:scatterChart>
      <c:valAx>
        <c:axId val="14154321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</a:t>
                </a:r>
                <a:r>
                  <a:rPr lang="en-GB" baseline="30000">
                    <a:solidFill>
                      <a:schemeClr val="tx1"/>
                    </a:solidFill>
                  </a:rPr>
                  <a:t>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29392"/>
        <c:crosses val="autoZero"/>
        <c:crossBetween val="midCat"/>
      </c:valAx>
      <c:valAx>
        <c:axId val="1415429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5432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Sheet3!$D$35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Sheet3!$E$36:$E$39</c:f>
                <c:numCache>
                  <c:formatCode>General</c:formatCode>
                  <c:ptCount val="4"/>
                  <c:pt idx="0">
                    <c:v>1.0997147984564262</c:v>
                  </c:pt>
                  <c:pt idx="1">
                    <c:v>1.4547859349066108</c:v>
                  </c:pt>
                  <c:pt idx="2">
                    <c:v>0.5455447255899778</c:v>
                  </c:pt>
                  <c:pt idx="3">
                    <c:v>0.43643578047198245</c:v>
                  </c:pt>
                </c:numCache>
              </c:numRef>
            </c:plus>
            <c:minus>
              <c:numRef>
                <c:f>Sheet3!$E$36:$E$39</c:f>
                <c:numCache>
                  <c:formatCode>General</c:formatCode>
                  <c:ptCount val="4"/>
                  <c:pt idx="0">
                    <c:v>1.0997147984564262</c:v>
                  </c:pt>
                  <c:pt idx="1">
                    <c:v>1.4547859349066108</c:v>
                  </c:pt>
                  <c:pt idx="2">
                    <c:v>0.5455447255899778</c:v>
                  </c:pt>
                  <c:pt idx="3">
                    <c:v>0.43643578047198245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Sheet3!$D$36:$D$39</c:f>
              <c:numCache>
                <c:formatCode>General</c:formatCode>
                <c:ptCount val="4"/>
                <c:pt idx="0">
                  <c:v>69.07936507936509</c:v>
                </c:pt>
                <c:pt idx="1">
                  <c:v>64.063492063492063</c:v>
                </c:pt>
                <c:pt idx="2">
                  <c:v>60.190476190476183</c:v>
                </c:pt>
                <c:pt idx="3">
                  <c:v>48.533333333333331</c:v>
                </c:pt>
              </c:numCache>
            </c:numRef>
          </c:val>
        </c:ser>
        <c:ser>
          <c:idx val="1"/>
          <c:order val="1"/>
          <c:tx>
            <c:strRef>
              <c:f>Sheet3!$F$35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Sheet3!$G$36:$G$39</c:f>
                <c:numCache>
                  <c:formatCode>General</c:formatCode>
                  <c:ptCount val="4"/>
                  <c:pt idx="0">
                    <c:v>0.9523809523809561</c:v>
                  </c:pt>
                  <c:pt idx="1">
                    <c:v>1.259881576697425</c:v>
                  </c:pt>
                  <c:pt idx="2">
                    <c:v>1.4433756729740586</c:v>
                  </c:pt>
                  <c:pt idx="3">
                    <c:v>0.87287156094396645</c:v>
                  </c:pt>
                </c:numCache>
              </c:numRef>
            </c:plus>
            <c:minus>
              <c:numRef>
                <c:f>Sheet3!$G$36:$G$39</c:f>
                <c:numCache>
                  <c:formatCode>General</c:formatCode>
                  <c:ptCount val="4"/>
                  <c:pt idx="0">
                    <c:v>0.9523809523809561</c:v>
                  </c:pt>
                  <c:pt idx="1">
                    <c:v>1.259881576697425</c:v>
                  </c:pt>
                  <c:pt idx="2">
                    <c:v>1.4433756729740586</c:v>
                  </c:pt>
                  <c:pt idx="3">
                    <c:v>0.87287156094396645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Sheet3!$F$36:$F$39</c:f>
              <c:numCache>
                <c:formatCode>General</c:formatCode>
                <c:ptCount val="4"/>
                <c:pt idx="0">
                  <c:v>65.904761904761912</c:v>
                </c:pt>
                <c:pt idx="1">
                  <c:v>55.333333333333336</c:v>
                </c:pt>
                <c:pt idx="2">
                  <c:v>52.095238095238095</c:v>
                </c:pt>
                <c:pt idx="3">
                  <c:v>40.723809523809528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1416245648"/>
        <c:axId val="1416247280"/>
      </c:barChart>
      <c:catAx>
        <c:axId val="1416245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Initial concentration</a:t>
                </a:r>
                <a:r>
                  <a:rPr lang="en-GB" baseline="0">
                    <a:solidFill>
                      <a:schemeClr val="tx1"/>
                    </a:solidFill>
                  </a:rPr>
                  <a:t> </a:t>
                </a:r>
                <a:r>
                  <a:rPr lang="en-GB">
                    <a:solidFill>
                      <a:schemeClr val="tx1"/>
                    </a:solidFill>
                  </a:rPr>
                  <a:t>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7280"/>
        <c:crosses val="autoZero"/>
        <c:auto val="1"/>
        <c:lblAlgn val="ctr"/>
        <c:lblOffset val="100"/>
        <c:noMultiLvlLbl val="0"/>
      </c:catAx>
      <c:valAx>
        <c:axId val="1416247280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5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Sheet3!$N$35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Sheet3!$O$36:$O$39</c:f>
                <c:numCache>
                  <c:formatCode>General</c:formatCode>
                  <c:ptCount val="4"/>
                  <c:pt idx="0">
                    <c:v>1.4547859349066183</c:v>
                  </c:pt>
                  <c:pt idx="1">
                    <c:v>1.4547859349066183</c:v>
                  </c:pt>
                  <c:pt idx="2">
                    <c:v>0.94491118252307071</c:v>
                  </c:pt>
                  <c:pt idx="3">
                    <c:v>0.8571428571428612</c:v>
                  </c:pt>
                </c:numCache>
              </c:numRef>
            </c:plus>
            <c:minus>
              <c:numRef>
                <c:f>Sheet3!$O$36:$O$39</c:f>
                <c:numCache>
                  <c:formatCode>General</c:formatCode>
                  <c:ptCount val="4"/>
                  <c:pt idx="0">
                    <c:v>1.4547859349066183</c:v>
                  </c:pt>
                  <c:pt idx="1">
                    <c:v>1.4547859349066183</c:v>
                  </c:pt>
                  <c:pt idx="2">
                    <c:v>0.94491118252307071</c:v>
                  </c:pt>
                  <c:pt idx="3">
                    <c:v>0.8571428571428612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Sheet3!$N$36:$N$39</c:f>
              <c:numCache>
                <c:formatCode>General</c:formatCode>
                <c:ptCount val="4"/>
                <c:pt idx="0">
                  <c:v>77.968253968253975</c:v>
                </c:pt>
                <c:pt idx="1">
                  <c:v>68.349206349206355</c:v>
                </c:pt>
                <c:pt idx="2">
                  <c:v>62.928571428571423</c:v>
                </c:pt>
                <c:pt idx="3">
                  <c:v>50.628571428571426</c:v>
                </c:pt>
              </c:numCache>
            </c:numRef>
          </c:val>
        </c:ser>
        <c:ser>
          <c:idx val="1"/>
          <c:order val="1"/>
          <c:tx>
            <c:strRef>
              <c:f>Sheet3!$P$35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Sheet3!$Q$36:$Q$39</c:f>
                <c:numCache>
                  <c:formatCode>General</c:formatCode>
                  <c:ptCount val="4"/>
                  <c:pt idx="0">
                    <c:v>0.9523809523809561</c:v>
                  </c:pt>
                  <c:pt idx="1">
                    <c:v>1.1983864182969506</c:v>
                  </c:pt>
                  <c:pt idx="2">
                    <c:v>0.54554472558997946</c:v>
                  </c:pt>
                  <c:pt idx="3">
                    <c:v>1.030157507275417</c:v>
                  </c:pt>
                </c:numCache>
              </c:numRef>
            </c:plus>
            <c:minus>
              <c:numRef>
                <c:f>Sheet3!$Q$36:$Q$39</c:f>
                <c:numCache>
                  <c:formatCode>General</c:formatCode>
                  <c:ptCount val="4"/>
                  <c:pt idx="0">
                    <c:v>0.9523809523809561</c:v>
                  </c:pt>
                  <c:pt idx="1">
                    <c:v>1.1983864182969506</c:v>
                  </c:pt>
                  <c:pt idx="2">
                    <c:v>0.54554472558997946</c:v>
                  </c:pt>
                  <c:pt idx="3">
                    <c:v>1.030157507275417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Sheet3!$P$36:$P$39</c:f>
              <c:numCache>
                <c:formatCode>General</c:formatCode>
                <c:ptCount val="4"/>
                <c:pt idx="0">
                  <c:v>73.523809523809518</c:v>
                </c:pt>
                <c:pt idx="1">
                  <c:v>59.460317460317462</c:v>
                </c:pt>
                <c:pt idx="2">
                  <c:v>54.595238095238081</c:v>
                </c:pt>
                <c:pt idx="3">
                  <c:v>44.914285714285711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1416249456"/>
        <c:axId val="1416244016"/>
      </c:barChart>
      <c:catAx>
        <c:axId val="1416249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Initial concentration</a:t>
                </a:r>
                <a:r>
                  <a:rPr lang="en-GB" baseline="0">
                    <a:solidFill>
                      <a:schemeClr val="tx1"/>
                    </a:solidFill>
                  </a:rPr>
                  <a:t> </a:t>
                </a:r>
                <a:r>
                  <a:rPr lang="en-GB">
                    <a:solidFill>
                      <a:schemeClr val="tx1"/>
                    </a:solidFill>
                  </a:rPr>
                  <a:t>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4016"/>
        <c:crosses val="autoZero"/>
        <c:auto val="1"/>
        <c:lblAlgn val="ctr"/>
        <c:lblOffset val="100"/>
        <c:noMultiLvlLbl val="0"/>
      </c:catAx>
      <c:valAx>
        <c:axId val="1416244016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Sheet3!$V$35</c:f>
              <c:strCache>
                <c:ptCount val="1"/>
                <c:pt idx="0">
                  <c:v>Jar pH2.2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Sheet3!$W$36:$W$39</c:f>
                <c:numCache>
                  <c:formatCode>General</c:formatCode>
                  <c:ptCount val="4"/>
                  <c:pt idx="0">
                    <c:v>1.4547859349066248</c:v>
                  </c:pt>
                  <c:pt idx="1">
                    <c:v>1.1983864182969515</c:v>
                  </c:pt>
                  <c:pt idx="2">
                    <c:v>0.74345214266647075</c:v>
                  </c:pt>
                  <c:pt idx="3">
                    <c:v>0.65982887907385979</c:v>
                  </c:pt>
                </c:numCache>
              </c:numRef>
            </c:plus>
            <c:minus>
              <c:numRef>
                <c:f>Sheet3!$W$36:$W$39</c:f>
                <c:numCache>
                  <c:formatCode>General</c:formatCode>
                  <c:ptCount val="4"/>
                  <c:pt idx="0">
                    <c:v>1.4547859349066248</c:v>
                  </c:pt>
                  <c:pt idx="1">
                    <c:v>1.1983864182969515</c:v>
                  </c:pt>
                  <c:pt idx="2">
                    <c:v>0.74345214266647075</c:v>
                  </c:pt>
                  <c:pt idx="3">
                    <c:v>0.65982887907385979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Sheet3!$V$36:$V$39</c:f>
              <c:numCache>
                <c:formatCode>General</c:formatCode>
                <c:ptCount val="4"/>
                <c:pt idx="0">
                  <c:v>83.682539682539684</c:v>
                </c:pt>
                <c:pt idx="1">
                  <c:v>73.746031746031747</c:v>
                </c:pt>
                <c:pt idx="2">
                  <c:v>65.19047619047619</c:v>
                </c:pt>
                <c:pt idx="3">
                  <c:v>53.961904761904769</c:v>
                </c:pt>
              </c:numCache>
            </c:numRef>
          </c:val>
        </c:ser>
        <c:ser>
          <c:idx val="1"/>
          <c:order val="1"/>
          <c:tx>
            <c:strRef>
              <c:f>Sheet3!$X$35</c:f>
              <c:strCache>
                <c:ptCount val="1"/>
                <c:pt idx="0">
                  <c:v>Jar pH1.7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Sheet3!$Y$36:$Y$39</c:f>
                <c:numCache>
                  <c:formatCode>General</c:formatCode>
                  <c:ptCount val="4"/>
                  <c:pt idx="0">
                    <c:v>1.4547859349066183</c:v>
                  </c:pt>
                  <c:pt idx="1">
                    <c:v>0.99126952355529896</c:v>
                  </c:pt>
                  <c:pt idx="2">
                    <c:v>0.89878981372270439</c:v>
                  </c:pt>
                  <c:pt idx="3">
                    <c:v>0.59476171413318268</c:v>
                  </c:pt>
                </c:numCache>
              </c:numRef>
            </c:plus>
            <c:minus>
              <c:numRef>
                <c:f>Sheet3!$Y$36:$Y$39</c:f>
                <c:numCache>
                  <c:formatCode>General</c:formatCode>
                  <c:ptCount val="4"/>
                  <c:pt idx="0">
                    <c:v>1.4547859349066183</c:v>
                  </c:pt>
                  <c:pt idx="1">
                    <c:v>0.99126952355529896</c:v>
                  </c:pt>
                  <c:pt idx="2">
                    <c:v>0.89878981372270439</c:v>
                  </c:pt>
                  <c:pt idx="3">
                    <c:v>0.59476171413318268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Sheet3!$C$36:$C$39</c:f>
              <c:numCache>
                <c:formatCode>General</c:formatCode>
                <c:ptCount val="4"/>
                <c:pt idx="0">
                  <c:v>150</c:v>
                </c:pt>
                <c:pt idx="1">
                  <c:v>300</c:v>
                </c:pt>
                <c:pt idx="2">
                  <c:v>400</c:v>
                </c:pt>
                <c:pt idx="3">
                  <c:v>500</c:v>
                </c:pt>
              </c:numCache>
            </c:numRef>
          </c:cat>
          <c:val>
            <c:numRef>
              <c:f>Sheet3!$X$36:$X$39</c:f>
              <c:numCache>
                <c:formatCode>General</c:formatCode>
                <c:ptCount val="4"/>
                <c:pt idx="0">
                  <c:v>77.968253968253975</c:v>
                </c:pt>
                <c:pt idx="1">
                  <c:v>63.587301587301589</c:v>
                </c:pt>
                <c:pt idx="2">
                  <c:v>58.404761904761905</c:v>
                </c:pt>
                <c:pt idx="3">
                  <c:v>47.67619047619047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3"/>
        <c:axId val="1416250000"/>
        <c:axId val="1416243472"/>
      </c:barChart>
      <c:catAx>
        <c:axId val="1416250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Initial concentration</a:t>
                </a:r>
                <a:r>
                  <a:rPr lang="en-GB" baseline="0">
                    <a:solidFill>
                      <a:schemeClr val="tx1"/>
                    </a:solidFill>
                  </a:rPr>
                  <a:t> </a:t>
                </a:r>
                <a:r>
                  <a:rPr lang="en-GB">
                    <a:solidFill>
                      <a:schemeClr val="tx1"/>
                    </a:solidFill>
                  </a:rPr>
                  <a:t>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43472"/>
        <c:crosses val="autoZero"/>
        <c:auto val="1"/>
        <c:lblAlgn val="ctr"/>
        <c:lblOffset val="100"/>
        <c:noMultiLvlLbl val="0"/>
      </c:catAx>
      <c:valAx>
        <c:axId val="1416243472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6250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8.xml"/><Relationship Id="rId13" Type="http://schemas.openxmlformats.org/officeDocument/2006/relationships/chart" Target="../charts/chart20.xml"/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12" Type="http://schemas.openxmlformats.org/officeDocument/2006/relationships/image" Target="../media/image3.png"/><Relationship Id="rId17" Type="http://schemas.openxmlformats.org/officeDocument/2006/relationships/chart" Target="../charts/chart24.xml"/><Relationship Id="rId2" Type="http://schemas.openxmlformats.org/officeDocument/2006/relationships/chart" Target="../charts/chart12.xml"/><Relationship Id="rId16" Type="http://schemas.openxmlformats.org/officeDocument/2006/relationships/chart" Target="../charts/chart23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11" Type="http://schemas.openxmlformats.org/officeDocument/2006/relationships/image" Target="../media/image2.png"/><Relationship Id="rId5" Type="http://schemas.openxmlformats.org/officeDocument/2006/relationships/chart" Target="../charts/chart15.xml"/><Relationship Id="rId15" Type="http://schemas.openxmlformats.org/officeDocument/2006/relationships/chart" Target="../charts/chart22.xml"/><Relationship Id="rId10" Type="http://schemas.openxmlformats.org/officeDocument/2006/relationships/image" Target="../media/image1.png"/><Relationship Id="rId4" Type="http://schemas.openxmlformats.org/officeDocument/2006/relationships/chart" Target="../charts/chart14.xml"/><Relationship Id="rId9" Type="http://schemas.openxmlformats.org/officeDocument/2006/relationships/chart" Target="../charts/chart19.xml"/><Relationship Id="rId14" Type="http://schemas.openxmlformats.org/officeDocument/2006/relationships/chart" Target="../charts/chart2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image" Target="../media/image5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395287</xdr:colOff>
      <xdr:row>35</xdr:row>
      <xdr:rowOff>152400</xdr:rowOff>
    </xdr:from>
    <xdr:to>
      <xdr:col>13</xdr:col>
      <xdr:colOff>28575</xdr:colOff>
      <xdr:row>51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409575</xdr:colOff>
      <xdr:row>52</xdr:row>
      <xdr:rowOff>47625</xdr:rowOff>
    </xdr:from>
    <xdr:to>
      <xdr:col>13</xdr:col>
      <xdr:colOff>9525</xdr:colOff>
      <xdr:row>66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9525</xdr:colOff>
      <xdr:row>51</xdr:row>
      <xdr:rowOff>104775</xdr:rowOff>
    </xdr:from>
    <xdr:to>
      <xdr:col>23</xdr:col>
      <xdr:colOff>314325</xdr:colOff>
      <xdr:row>65</xdr:row>
      <xdr:rowOff>142875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266701</xdr:colOff>
      <xdr:row>67</xdr:row>
      <xdr:rowOff>152400</xdr:rowOff>
    </xdr:from>
    <xdr:to>
      <xdr:col>17</xdr:col>
      <xdr:colOff>95250</xdr:colOff>
      <xdr:row>82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204787</xdr:colOff>
      <xdr:row>67</xdr:row>
      <xdr:rowOff>171450</xdr:rowOff>
    </xdr:from>
    <xdr:to>
      <xdr:col>24</xdr:col>
      <xdr:colOff>209550</xdr:colOff>
      <xdr:row>82</xdr:row>
      <xdr:rowOff>19050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24</xdr:col>
      <xdr:colOff>314326</xdr:colOff>
      <xdr:row>67</xdr:row>
      <xdr:rowOff>171450</xdr:rowOff>
    </xdr:from>
    <xdr:to>
      <xdr:col>31</xdr:col>
      <xdr:colOff>333376</xdr:colOff>
      <xdr:row>82</xdr:row>
      <xdr:rowOff>9525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471487</xdr:colOff>
      <xdr:row>40</xdr:row>
      <xdr:rowOff>28575</xdr:rowOff>
    </xdr:from>
    <xdr:to>
      <xdr:col>10</xdr:col>
      <xdr:colOff>166687</xdr:colOff>
      <xdr:row>54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41</xdr:row>
      <xdr:rowOff>28575</xdr:rowOff>
    </xdr:from>
    <xdr:to>
      <xdr:col>19</xdr:col>
      <xdr:colOff>304800</xdr:colOff>
      <xdr:row>55</xdr:row>
      <xdr:rowOff>104775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28575</xdr:colOff>
      <xdr:row>40</xdr:row>
      <xdr:rowOff>19050</xdr:rowOff>
    </xdr:from>
    <xdr:to>
      <xdr:col>27</xdr:col>
      <xdr:colOff>333375</xdr:colOff>
      <xdr:row>54</xdr:row>
      <xdr:rowOff>95250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38100</xdr:colOff>
      <xdr:row>40</xdr:row>
      <xdr:rowOff>85725</xdr:rowOff>
    </xdr:from>
    <xdr:to>
      <xdr:col>10</xdr:col>
      <xdr:colOff>342900</xdr:colOff>
      <xdr:row>54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16</xdr:row>
      <xdr:rowOff>19050</xdr:rowOff>
    </xdr:from>
    <xdr:to>
      <xdr:col>18</xdr:col>
      <xdr:colOff>323850</xdr:colOff>
      <xdr:row>30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47625</xdr:colOff>
      <xdr:row>62</xdr:row>
      <xdr:rowOff>38100</xdr:rowOff>
    </xdr:from>
    <xdr:to>
      <xdr:col>18</xdr:col>
      <xdr:colOff>228599</xdr:colOff>
      <xdr:row>76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42</xdr:col>
      <xdr:colOff>9525</xdr:colOff>
      <xdr:row>62</xdr:row>
      <xdr:rowOff>0</xdr:rowOff>
    </xdr:from>
    <xdr:to>
      <xdr:col>49</xdr:col>
      <xdr:colOff>190499</xdr:colOff>
      <xdr:row>76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37</xdr:col>
      <xdr:colOff>447675</xdr:colOff>
      <xdr:row>79</xdr:row>
      <xdr:rowOff>47625</xdr:rowOff>
    </xdr:from>
    <xdr:to>
      <xdr:col>45</xdr:col>
      <xdr:colOff>142875</xdr:colOff>
      <xdr:row>93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180975</xdr:colOff>
      <xdr:row>79</xdr:row>
      <xdr:rowOff>47625</xdr:rowOff>
    </xdr:from>
    <xdr:to>
      <xdr:col>16</xdr:col>
      <xdr:colOff>485775</xdr:colOff>
      <xdr:row>93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123825</xdr:colOff>
      <xdr:row>79</xdr:row>
      <xdr:rowOff>47625</xdr:rowOff>
    </xdr:from>
    <xdr:to>
      <xdr:col>23</xdr:col>
      <xdr:colOff>590550</xdr:colOff>
      <xdr:row>93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46</xdr:col>
      <xdr:colOff>28575</xdr:colOff>
      <xdr:row>79</xdr:row>
      <xdr:rowOff>57150</xdr:rowOff>
    </xdr:from>
    <xdr:to>
      <xdr:col>53</xdr:col>
      <xdr:colOff>333375</xdr:colOff>
      <xdr:row>93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152399</xdr:colOff>
      <xdr:row>98</xdr:row>
      <xdr:rowOff>9525</xdr:rowOff>
    </xdr:from>
    <xdr:to>
      <xdr:col>19</xdr:col>
      <xdr:colOff>733424</xdr:colOff>
      <xdr:row>108</xdr:row>
      <xdr:rowOff>142875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38100</xdr:colOff>
      <xdr:row>98</xdr:row>
      <xdr:rowOff>0</xdr:rowOff>
    </xdr:from>
    <xdr:to>
      <xdr:col>25</xdr:col>
      <xdr:colOff>457200</xdr:colOff>
      <xdr:row>108</xdr:row>
      <xdr:rowOff>152400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 editAs="oneCell">
    <xdr:from>
      <xdr:col>16</xdr:col>
      <xdr:colOff>238125</xdr:colOff>
      <xdr:row>94</xdr:row>
      <xdr:rowOff>171450</xdr:rowOff>
    </xdr:from>
    <xdr:to>
      <xdr:col>18</xdr:col>
      <xdr:colOff>133211</xdr:colOff>
      <xdr:row>97</xdr:row>
      <xdr:rowOff>114236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9382125" y="18354675"/>
          <a:ext cx="1114286" cy="514286"/>
        </a:xfrm>
        <a:prstGeom prst="rect">
          <a:avLst/>
        </a:prstGeom>
      </xdr:spPr>
    </xdr:pic>
    <xdr:clientData/>
  </xdr:twoCellAnchor>
  <xdr:twoCellAnchor editAs="oneCell">
    <xdr:from>
      <xdr:col>21</xdr:col>
      <xdr:colOff>85725</xdr:colOff>
      <xdr:row>94</xdr:row>
      <xdr:rowOff>133350</xdr:rowOff>
    </xdr:from>
    <xdr:to>
      <xdr:col>23</xdr:col>
      <xdr:colOff>580811</xdr:colOff>
      <xdr:row>97</xdr:row>
      <xdr:rowOff>114231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725400" y="18316575"/>
          <a:ext cx="1714286" cy="552381"/>
        </a:xfrm>
        <a:prstGeom prst="rect">
          <a:avLst/>
        </a:prstGeom>
      </xdr:spPr>
    </xdr:pic>
    <xdr:clientData/>
  </xdr:twoCellAnchor>
  <xdr:twoCellAnchor editAs="oneCell">
    <xdr:from>
      <xdr:col>5</xdr:col>
      <xdr:colOff>247650</xdr:colOff>
      <xdr:row>114</xdr:row>
      <xdr:rowOff>85724</xdr:rowOff>
    </xdr:from>
    <xdr:to>
      <xdr:col>6</xdr:col>
      <xdr:colOff>228494</xdr:colOff>
      <xdr:row>116</xdr:row>
      <xdr:rowOff>171387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295650" y="22126574"/>
          <a:ext cx="847619" cy="466663"/>
        </a:xfrm>
        <a:prstGeom prst="rect">
          <a:avLst/>
        </a:prstGeom>
      </xdr:spPr>
    </xdr:pic>
    <xdr:clientData/>
  </xdr:twoCellAnchor>
  <xdr:twoCellAnchor>
    <xdr:from>
      <xdr:col>11</xdr:col>
      <xdr:colOff>38100</xdr:colOff>
      <xdr:row>134</xdr:row>
      <xdr:rowOff>38100</xdr:rowOff>
    </xdr:from>
    <xdr:to>
      <xdr:col>19</xdr:col>
      <xdr:colOff>171450</xdr:colOff>
      <xdr:row>148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14</xdr:col>
      <xdr:colOff>161925</xdr:colOff>
      <xdr:row>109</xdr:row>
      <xdr:rowOff>133350</xdr:rowOff>
    </xdr:from>
    <xdr:to>
      <xdr:col>19</xdr:col>
      <xdr:colOff>742950</xdr:colOff>
      <xdr:row>120</xdr:row>
      <xdr:rowOff>76200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47626</xdr:colOff>
      <xdr:row>109</xdr:row>
      <xdr:rowOff>123825</xdr:rowOff>
    </xdr:from>
    <xdr:to>
      <xdr:col>25</xdr:col>
      <xdr:colOff>466726</xdr:colOff>
      <xdr:row>120</xdr:row>
      <xdr:rowOff>85725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14</xdr:col>
      <xdr:colOff>180975</xdr:colOff>
      <xdr:row>121</xdr:row>
      <xdr:rowOff>123825</xdr:rowOff>
    </xdr:from>
    <xdr:to>
      <xdr:col>19</xdr:col>
      <xdr:colOff>762000</xdr:colOff>
      <xdr:row>132</xdr:row>
      <xdr:rowOff>76200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20</xdr:col>
      <xdr:colOff>66676</xdr:colOff>
      <xdr:row>121</xdr:row>
      <xdr:rowOff>114300</xdr:rowOff>
    </xdr:from>
    <xdr:to>
      <xdr:col>25</xdr:col>
      <xdr:colOff>485776</xdr:colOff>
      <xdr:row>132</xdr:row>
      <xdr:rowOff>85725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247650</xdr:colOff>
      <xdr:row>82</xdr:row>
      <xdr:rowOff>0</xdr:rowOff>
    </xdr:from>
    <xdr:to>
      <xdr:col>16</xdr:col>
      <xdr:colOff>552450</xdr:colOff>
      <xdr:row>96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82</xdr:row>
      <xdr:rowOff>19050</xdr:rowOff>
    </xdr:from>
    <xdr:to>
      <xdr:col>24</xdr:col>
      <xdr:colOff>352425</xdr:colOff>
      <xdr:row>96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9525</xdr:colOff>
      <xdr:row>96</xdr:row>
      <xdr:rowOff>38100</xdr:rowOff>
    </xdr:from>
    <xdr:to>
      <xdr:col>7</xdr:col>
      <xdr:colOff>600075</xdr:colOff>
      <xdr:row>98</xdr:row>
      <xdr:rowOff>180975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67125" y="18478500"/>
          <a:ext cx="1200150" cy="523875"/>
        </a:xfrm>
        <a:prstGeom prst="rect">
          <a:avLst/>
        </a:prstGeom>
      </xdr:spPr>
    </xdr:pic>
    <xdr:clientData/>
  </xdr:twoCellAnchor>
  <xdr:twoCellAnchor editAs="oneCell">
    <xdr:from>
      <xdr:col>16</xdr:col>
      <xdr:colOff>466725</xdr:colOff>
      <xdr:row>96</xdr:row>
      <xdr:rowOff>47625</xdr:rowOff>
    </xdr:from>
    <xdr:to>
      <xdr:col>18</xdr:col>
      <xdr:colOff>447675</xdr:colOff>
      <xdr:row>99</xdr:row>
      <xdr:rowOff>0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20325" y="18488025"/>
          <a:ext cx="1200150" cy="52387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106</xdr:row>
      <xdr:rowOff>57150</xdr:rowOff>
    </xdr:from>
    <xdr:to>
      <xdr:col>9</xdr:col>
      <xdr:colOff>304800</xdr:colOff>
      <xdr:row>121</xdr:row>
      <xdr:rowOff>19050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9525</xdr:colOff>
      <xdr:row>106</xdr:row>
      <xdr:rowOff>85725</xdr:rowOff>
    </xdr:from>
    <xdr:to>
      <xdr:col>20</xdr:col>
      <xdr:colOff>314325</xdr:colOff>
      <xdr:row>121</xdr:row>
      <xdr:rowOff>47625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5</xdr:col>
      <xdr:colOff>657225</xdr:colOff>
      <xdr:row>122</xdr:row>
      <xdr:rowOff>9525</xdr:rowOff>
    </xdr:from>
    <xdr:to>
      <xdr:col>8</xdr:col>
      <xdr:colOff>190324</xdr:colOff>
      <xdr:row>124</xdr:row>
      <xdr:rowOff>133287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820525" y="29051250"/>
          <a:ext cx="1409524" cy="504762"/>
        </a:xfrm>
        <a:prstGeom prst="rect">
          <a:avLst/>
        </a:prstGeom>
      </xdr:spPr>
    </xdr:pic>
    <xdr:clientData/>
  </xdr:twoCellAnchor>
  <xdr:twoCellAnchor editAs="oneCell">
    <xdr:from>
      <xdr:col>16</xdr:col>
      <xdr:colOff>657225</xdr:colOff>
      <xdr:row>122</xdr:row>
      <xdr:rowOff>9525</xdr:rowOff>
    </xdr:from>
    <xdr:to>
      <xdr:col>19</xdr:col>
      <xdr:colOff>190324</xdr:colOff>
      <xdr:row>124</xdr:row>
      <xdr:rowOff>133287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820525" y="29051250"/>
          <a:ext cx="1409524" cy="5047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467591</xdr:colOff>
      <xdr:row>4</xdr:row>
      <xdr:rowOff>3463</xdr:rowOff>
    </xdr:from>
    <xdr:to>
      <xdr:col>14</xdr:col>
      <xdr:colOff>100445</xdr:colOff>
      <xdr:row>14</xdr:row>
      <xdr:rowOff>124690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296141</xdr:colOff>
      <xdr:row>22</xdr:row>
      <xdr:rowOff>41563</xdr:rowOff>
    </xdr:from>
    <xdr:to>
      <xdr:col>13</xdr:col>
      <xdr:colOff>538595</xdr:colOff>
      <xdr:row>32</xdr:row>
      <xdr:rowOff>162790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73891</xdr:colOff>
      <xdr:row>39</xdr:row>
      <xdr:rowOff>79663</xdr:rowOff>
    </xdr:from>
    <xdr:to>
      <xdr:col>13</xdr:col>
      <xdr:colOff>316345</xdr:colOff>
      <xdr:row>50</xdr:row>
      <xdr:rowOff>10390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</xdr:colOff>
      <xdr:row>15</xdr:row>
      <xdr:rowOff>85725</xdr:rowOff>
    </xdr:from>
    <xdr:to>
      <xdr:col>16</xdr:col>
      <xdr:colOff>328612</xdr:colOff>
      <xdr:row>29</xdr:row>
      <xdr:rowOff>161925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U94"/>
  <sheetViews>
    <sheetView topLeftCell="A31" workbookViewId="0">
      <selection activeCell="E51" sqref="E51"/>
    </sheetView>
  </sheetViews>
  <sheetFormatPr defaultRowHeight="15" x14ac:dyDescent="0.25"/>
  <cols>
    <col min="1" max="2" width="9.140625" customWidth="1"/>
    <col min="3" max="3" width="10.28515625" customWidth="1"/>
    <col min="4" max="4" width="15.42578125" customWidth="1"/>
    <col min="5" max="5" width="14.85546875" customWidth="1"/>
    <col min="6" max="6" width="13" customWidth="1"/>
    <col min="7" max="7" width="12" customWidth="1"/>
    <col min="8" max="8" width="21.28515625" customWidth="1"/>
    <col min="9" max="9" width="11.85546875" customWidth="1"/>
    <col min="10" max="10" width="17.5703125" customWidth="1"/>
    <col min="11" max="11" width="13.140625" customWidth="1"/>
    <col min="12" max="12" width="8" customWidth="1"/>
    <col min="13" max="13" width="22" customWidth="1"/>
    <col min="14" max="14" width="17.140625" customWidth="1"/>
    <col min="17" max="17" width="9.140625" customWidth="1"/>
  </cols>
  <sheetData>
    <row r="3" spans="3:20" x14ac:dyDescent="0.25">
      <c r="C3" s="26"/>
      <c r="D3" s="26"/>
      <c r="E3" s="13" t="s">
        <v>8</v>
      </c>
      <c r="F3" s="13" t="s">
        <v>7</v>
      </c>
      <c r="G3" s="13" t="s">
        <v>8</v>
      </c>
      <c r="H3" s="13" t="s">
        <v>7</v>
      </c>
      <c r="I3" s="13" t="s">
        <v>8</v>
      </c>
      <c r="J3" s="13" t="s">
        <v>7</v>
      </c>
      <c r="K3" s="13" t="s">
        <v>8</v>
      </c>
      <c r="L3" s="13" t="s">
        <v>7</v>
      </c>
      <c r="M3" s="13" t="s">
        <v>8</v>
      </c>
      <c r="N3" s="13" t="s">
        <v>7</v>
      </c>
      <c r="O3" s="13" t="s">
        <v>8</v>
      </c>
      <c r="P3" s="13" t="s">
        <v>7</v>
      </c>
      <c r="Q3" s="43" t="s">
        <v>8</v>
      </c>
      <c r="R3" s="43" t="s">
        <v>7</v>
      </c>
      <c r="S3" s="43" t="s">
        <v>8</v>
      </c>
      <c r="T3" s="43" t="s">
        <v>7</v>
      </c>
    </row>
    <row r="4" spans="3:20" ht="18" x14ac:dyDescent="0.35">
      <c r="C4" s="22" t="s">
        <v>0</v>
      </c>
      <c r="D4" s="13" t="s">
        <v>12</v>
      </c>
      <c r="E4" s="13" t="s">
        <v>2</v>
      </c>
      <c r="F4" s="13" t="s">
        <v>2</v>
      </c>
      <c r="G4" s="13" t="s">
        <v>3</v>
      </c>
      <c r="H4" s="13" t="s">
        <v>3</v>
      </c>
      <c r="I4" s="13" t="s">
        <v>4</v>
      </c>
      <c r="J4" s="13" t="s">
        <v>4</v>
      </c>
      <c r="K4" s="13" t="s">
        <v>10</v>
      </c>
      <c r="L4" s="13" t="s">
        <v>10</v>
      </c>
      <c r="M4" s="13" t="s">
        <v>9</v>
      </c>
      <c r="N4" s="13" t="s">
        <v>9</v>
      </c>
      <c r="O4" s="13" t="s">
        <v>13</v>
      </c>
      <c r="P4" s="13" t="s">
        <v>13</v>
      </c>
      <c r="Q4" s="43" t="s">
        <v>25</v>
      </c>
      <c r="R4" s="43" t="s">
        <v>25</v>
      </c>
      <c r="S4" s="43" t="s">
        <v>9</v>
      </c>
      <c r="T4" s="43" t="s">
        <v>9</v>
      </c>
    </row>
    <row r="5" spans="3:20" x14ac:dyDescent="0.25">
      <c r="C5" s="23" t="s">
        <v>130</v>
      </c>
      <c r="D5" s="27">
        <v>5</v>
      </c>
      <c r="E5" s="27">
        <v>7.3999999999999996E-2</v>
      </c>
      <c r="F5" s="27">
        <v>7.8E-2</v>
      </c>
      <c r="G5" s="27">
        <f t="shared" ref="G5:H7" si="0">(E5-0.0102)/0.0007</f>
        <v>91.142857142857139</v>
      </c>
      <c r="H5" s="27">
        <f t="shared" si="0"/>
        <v>96.857142857142861</v>
      </c>
      <c r="I5" s="27">
        <f t="shared" ref="I5:J7" si="1">((150-G5)/150)*100</f>
        <v>39.238095238095241</v>
      </c>
      <c r="J5" s="27">
        <f t="shared" si="1"/>
        <v>35.428571428571423</v>
      </c>
      <c r="K5" s="27">
        <f>AVERAGE(I5:I7)</f>
        <v>37.968253968253968</v>
      </c>
      <c r="L5" s="27">
        <f>AVERAGE(J5:J7)</f>
        <v>34.158730158730151</v>
      </c>
      <c r="M5" s="27">
        <f>_xlfn.STDEV.S(I5:I7)</f>
        <v>2.1994295969128648</v>
      </c>
      <c r="N5" s="27">
        <f>_xlfn.STDEV.S(J5:J7)</f>
        <v>1.0997147984564302</v>
      </c>
      <c r="O5" s="27">
        <f t="shared" ref="O5:P7" si="2">((150-G5)/1)*0.05</f>
        <v>2.9428571428571431</v>
      </c>
      <c r="P5" s="27">
        <f t="shared" si="2"/>
        <v>2.657142857142857</v>
      </c>
      <c r="Q5" s="44">
        <f>AVERAGE(O5:O7)</f>
        <v>2.8476190476190477</v>
      </c>
      <c r="R5" s="44">
        <f>AVERAGE(P5:P7)</f>
        <v>2.5619047619047617</v>
      </c>
      <c r="S5" s="45">
        <f>_xlfn.STDEV.S(O5:O7)</f>
        <v>0.16495721976846467</v>
      </c>
      <c r="T5" s="45">
        <f>_xlfn.STDEV.S(P5:P7)</f>
        <v>8.247860988423221E-2</v>
      </c>
    </row>
    <row r="6" spans="3:20" x14ac:dyDescent="0.25">
      <c r="C6" s="23" t="s">
        <v>14</v>
      </c>
      <c r="D6" s="27"/>
      <c r="E6" s="27">
        <v>7.3999999999999996E-2</v>
      </c>
      <c r="F6" s="27">
        <v>0.08</v>
      </c>
      <c r="G6" s="27">
        <f t="shared" si="0"/>
        <v>91.142857142857139</v>
      </c>
      <c r="H6" s="27">
        <f t="shared" si="0"/>
        <v>99.714285714285722</v>
      </c>
      <c r="I6" s="27">
        <f t="shared" si="1"/>
        <v>39.238095238095241</v>
      </c>
      <c r="J6" s="27">
        <f t="shared" si="1"/>
        <v>33.523809523809518</v>
      </c>
      <c r="K6" s="27"/>
      <c r="L6" s="27"/>
      <c r="M6" s="27"/>
      <c r="N6" s="27"/>
      <c r="O6" s="27">
        <f t="shared" si="2"/>
        <v>2.9428571428571431</v>
      </c>
      <c r="P6" s="27">
        <f t="shared" si="2"/>
        <v>2.5142857142857142</v>
      </c>
      <c r="Q6" s="44"/>
      <c r="R6" s="44"/>
      <c r="S6" s="44"/>
      <c r="T6" s="45"/>
    </row>
    <row r="7" spans="3:20" x14ac:dyDescent="0.25">
      <c r="C7" s="23"/>
      <c r="D7" s="27"/>
      <c r="E7" s="27">
        <v>7.8E-2</v>
      </c>
      <c r="F7" s="27">
        <v>0.08</v>
      </c>
      <c r="G7" s="27">
        <f t="shared" si="0"/>
        <v>96.857142857142861</v>
      </c>
      <c r="H7" s="27">
        <f t="shared" si="0"/>
        <v>99.714285714285722</v>
      </c>
      <c r="I7" s="27">
        <f t="shared" si="1"/>
        <v>35.428571428571423</v>
      </c>
      <c r="J7" s="27">
        <f t="shared" si="1"/>
        <v>33.523809523809518</v>
      </c>
      <c r="K7" s="27"/>
      <c r="L7" s="27"/>
      <c r="M7" s="27"/>
      <c r="N7" s="27"/>
      <c r="O7" s="27">
        <f t="shared" si="2"/>
        <v>2.657142857142857</v>
      </c>
      <c r="P7" s="27">
        <f t="shared" si="2"/>
        <v>2.5142857142857142</v>
      </c>
      <c r="Q7" s="44"/>
      <c r="R7" s="44"/>
      <c r="S7" s="44"/>
      <c r="T7" s="45"/>
    </row>
    <row r="8" spans="3:20" x14ac:dyDescent="0.25">
      <c r="C8" s="23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6"/>
      <c r="Q8" s="45"/>
      <c r="R8" s="45"/>
      <c r="S8" s="44"/>
      <c r="T8" s="45"/>
    </row>
    <row r="9" spans="3:20" x14ac:dyDescent="0.25">
      <c r="C9" s="23"/>
      <c r="D9" s="27">
        <v>10</v>
      </c>
      <c r="E9" s="27">
        <v>6.9000000000000006E-2</v>
      </c>
      <c r="F9" s="27">
        <v>7.2999999999999995E-2</v>
      </c>
      <c r="G9" s="27">
        <f t="shared" ref="G9:H11" si="3">(E9-0.0102)/0.0007</f>
        <v>84.000000000000014</v>
      </c>
      <c r="H9" s="27">
        <f t="shared" si="3"/>
        <v>89.714285714285708</v>
      </c>
      <c r="I9" s="27">
        <f t="shared" ref="I9:J11" si="4">((150-G9)/150)*100</f>
        <v>43.999999999999986</v>
      </c>
      <c r="J9" s="27">
        <f t="shared" si="4"/>
        <v>40.19047619047619</v>
      </c>
      <c r="K9" s="27">
        <f>AVERAGE(I9:I11)</f>
        <v>43.682539682539677</v>
      </c>
      <c r="L9" s="27">
        <f>AVERAGE(J9:J11)</f>
        <v>38.603174603174608</v>
      </c>
      <c r="M9" s="27">
        <f>_xlfn.STDEV.S(I9:I11)</f>
        <v>1.4547859349066061</v>
      </c>
      <c r="N9" s="27">
        <f>_xlfn.STDEV.S(J9:J11)</f>
        <v>1.4547859349066139</v>
      </c>
      <c r="O9" s="27">
        <f t="shared" ref="O9:P11" si="5">((150-G9)/1)*0.05</f>
        <v>3.2999999999999994</v>
      </c>
      <c r="P9" s="27">
        <f t="shared" si="5"/>
        <v>3.0142857142857147</v>
      </c>
      <c r="Q9" s="44">
        <f>AVERAGE(O9:O11)</f>
        <v>3.2761904761904765</v>
      </c>
      <c r="R9" s="44">
        <f>AVERAGE(P9:P11)</f>
        <v>2.8952380952380956</v>
      </c>
      <c r="S9" s="45">
        <f>_xlfn.STDEV.S(O9:O11)</f>
        <v>0.10910894511799551</v>
      </c>
      <c r="T9" s="45">
        <f>_xlfn.STDEV.S(P9:P11)</f>
        <v>0.10910894511799624</v>
      </c>
    </row>
    <row r="10" spans="3:20" x14ac:dyDescent="0.25">
      <c r="C10" s="23"/>
      <c r="D10" s="27"/>
      <c r="E10" s="27">
        <v>7.0999999999999994E-2</v>
      </c>
      <c r="F10" s="27">
        <v>7.4999999999999997E-2</v>
      </c>
      <c r="G10" s="27">
        <f t="shared" si="3"/>
        <v>86.857142857142847</v>
      </c>
      <c r="H10" s="27">
        <f t="shared" si="3"/>
        <v>92.571428571428569</v>
      </c>
      <c r="I10" s="27">
        <f t="shared" si="4"/>
        <v>42.095238095238102</v>
      </c>
      <c r="J10" s="27">
        <f t="shared" si="4"/>
        <v>38.285714285714292</v>
      </c>
      <c r="K10" s="27"/>
      <c r="L10" s="27"/>
      <c r="M10" s="27"/>
      <c r="N10" s="27"/>
      <c r="O10" s="27">
        <f t="shared" si="5"/>
        <v>3.1571428571428579</v>
      </c>
      <c r="P10" s="27">
        <f t="shared" si="5"/>
        <v>2.8714285714285719</v>
      </c>
      <c r="Q10" s="44"/>
      <c r="R10" s="44"/>
      <c r="S10" s="44"/>
      <c r="T10" s="45"/>
    </row>
    <row r="11" spans="3:20" x14ac:dyDescent="0.25">
      <c r="C11" s="23"/>
      <c r="D11" s="27"/>
      <c r="E11" s="27">
        <v>6.8000000000000005E-2</v>
      </c>
      <c r="F11" s="27">
        <v>7.5999999999999998E-2</v>
      </c>
      <c r="G11" s="27">
        <f t="shared" si="3"/>
        <v>82.571428571428584</v>
      </c>
      <c r="H11" s="27">
        <f t="shared" si="3"/>
        <v>94</v>
      </c>
      <c r="I11" s="27">
        <f t="shared" si="4"/>
        <v>44.952380952380942</v>
      </c>
      <c r="J11" s="27">
        <f t="shared" si="4"/>
        <v>37.333333333333336</v>
      </c>
      <c r="K11" s="27"/>
      <c r="L11" s="27"/>
      <c r="M11" s="27"/>
      <c r="N11" s="27"/>
      <c r="O11" s="27">
        <f t="shared" si="5"/>
        <v>3.371428571428571</v>
      </c>
      <c r="P11" s="27">
        <f t="shared" si="5"/>
        <v>2.8000000000000003</v>
      </c>
      <c r="Q11" s="44"/>
      <c r="R11" s="44"/>
      <c r="S11" s="44"/>
      <c r="T11" s="45"/>
    </row>
    <row r="12" spans="3:20" x14ac:dyDescent="0.25">
      <c r="C12" s="23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6"/>
      <c r="Q12" s="45"/>
      <c r="R12" s="45"/>
      <c r="S12" s="44"/>
      <c r="T12" s="45"/>
    </row>
    <row r="13" spans="3:20" x14ac:dyDescent="0.25">
      <c r="C13" s="23"/>
      <c r="D13" s="27">
        <v>15</v>
      </c>
      <c r="E13" s="27">
        <v>6.5000000000000002E-2</v>
      </c>
      <c r="F13" s="27">
        <v>6.9000000000000006E-2</v>
      </c>
      <c r="G13" s="27">
        <f t="shared" ref="G13:H15" si="6">(E13-0.0102)/0.0007</f>
        <v>78.285714285714292</v>
      </c>
      <c r="H13" s="27">
        <f t="shared" si="6"/>
        <v>84.000000000000014</v>
      </c>
      <c r="I13" s="27">
        <f t="shared" ref="I13:J15" si="7">((150-G13)/150)*100</f>
        <v>47.80952380952381</v>
      </c>
      <c r="J13" s="27">
        <f t="shared" si="7"/>
        <v>43.999999999999986</v>
      </c>
      <c r="K13" s="27">
        <f>AVERAGE(I13:I15)</f>
        <v>49.714285714285715</v>
      </c>
      <c r="L13" s="27">
        <f>AVERAGE(J13:J15)</f>
        <v>43.047619047619037</v>
      </c>
      <c r="M13" s="27">
        <f>_xlfn.STDEV.S(I13:I15)</f>
        <v>2.5197631533948472</v>
      </c>
      <c r="N13" s="27">
        <f>_xlfn.STDEV.S(J13:J15)</f>
        <v>0.95238095238094189</v>
      </c>
      <c r="O13" s="27">
        <f t="shared" ref="O13:P15" si="8">((150-G13)/1)*0.05</f>
        <v>3.5857142857142854</v>
      </c>
      <c r="P13" s="27">
        <f t="shared" si="8"/>
        <v>3.2999999999999994</v>
      </c>
      <c r="Q13" s="44">
        <f>AVERAGE(O13:O15)</f>
        <v>3.7285714285714282</v>
      </c>
      <c r="R13" s="44">
        <f>AVERAGE(P13:P15)</f>
        <v>3.2285714285714282</v>
      </c>
      <c r="S13" s="45">
        <f>_xlfn.STDEV.S(O13:O15)</f>
        <v>0.18898223650461388</v>
      </c>
      <c r="T13" s="45">
        <f>_xlfn.STDEV.S(P13:P15)</f>
        <v>7.1428571428570731E-2</v>
      </c>
    </row>
    <row r="14" spans="3:20" x14ac:dyDescent="0.25">
      <c r="C14" s="23"/>
      <c r="D14" s="27"/>
      <c r="E14" s="27">
        <v>6.4000000000000001E-2</v>
      </c>
      <c r="F14" s="27">
        <v>7.0999999999999994E-2</v>
      </c>
      <c r="G14" s="27">
        <f t="shared" si="6"/>
        <v>76.857142857142861</v>
      </c>
      <c r="H14" s="27">
        <f t="shared" si="6"/>
        <v>86.857142857142847</v>
      </c>
      <c r="I14" s="27">
        <f t="shared" si="7"/>
        <v>48.761904761904759</v>
      </c>
      <c r="J14" s="27">
        <f t="shared" si="7"/>
        <v>42.095238095238102</v>
      </c>
      <c r="K14" s="27"/>
      <c r="L14" s="27"/>
      <c r="M14" s="27"/>
      <c r="N14" s="27"/>
      <c r="O14" s="27">
        <f t="shared" si="8"/>
        <v>3.657142857142857</v>
      </c>
      <c r="P14" s="27">
        <f t="shared" si="8"/>
        <v>3.1571428571428579</v>
      </c>
      <c r="Q14" s="44"/>
      <c r="R14" s="44"/>
      <c r="S14" s="44"/>
      <c r="T14" s="45"/>
    </row>
    <row r="15" spans="3:20" x14ac:dyDescent="0.25">
      <c r="C15" s="23"/>
      <c r="D15" s="27"/>
      <c r="E15" s="27">
        <v>0.06</v>
      </c>
      <c r="F15" s="27">
        <v>7.0000000000000007E-2</v>
      </c>
      <c r="G15" s="27">
        <f t="shared" si="6"/>
        <v>71.142857142857139</v>
      </c>
      <c r="H15" s="27">
        <f t="shared" si="6"/>
        <v>85.428571428571445</v>
      </c>
      <c r="I15" s="27">
        <f t="shared" si="7"/>
        <v>52.571428571428569</v>
      </c>
      <c r="J15" s="27">
        <f t="shared" si="7"/>
        <v>43.047619047619037</v>
      </c>
      <c r="K15" s="27"/>
      <c r="L15" s="27"/>
      <c r="M15" s="27"/>
      <c r="N15" s="27"/>
      <c r="O15" s="27">
        <f t="shared" si="8"/>
        <v>3.9428571428571431</v>
      </c>
      <c r="P15" s="27">
        <f t="shared" si="8"/>
        <v>3.2285714285714278</v>
      </c>
      <c r="Q15" s="44"/>
      <c r="R15" s="44"/>
      <c r="S15" s="44"/>
      <c r="T15" s="45"/>
    </row>
    <row r="16" spans="3:20" x14ac:dyDescent="0.25">
      <c r="C16" s="23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6"/>
      <c r="Q16" s="45"/>
      <c r="R16" s="45"/>
      <c r="S16" s="45"/>
      <c r="T16" s="45"/>
    </row>
    <row r="17" spans="3:20" x14ac:dyDescent="0.25">
      <c r="C17" s="23"/>
      <c r="D17" s="27">
        <v>20</v>
      </c>
      <c r="E17" s="27">
        <v>5.8999999999999997E-2</v>
      </c>
      <c r="F17" s="27">
        <v>6.2E-2</v>
      </c>
      <c r="G17" s="27">
        <f t="shared" ref="G17:H19" si="9">(E17-0.0102)/0.0007</f>
        <v>69.714285714285708</v>
      </c>
      <c r="H17" s="27">
        <f t="shared" si="9"/>
        <v>74</v>
      </c>
      <c r="I17" s="27">
        <f t="shared" ref="I17:J19" si="10">((150-G17)/150)*100</f>
        <v>53.523809523809533</v>
      </c>
      <c r="J17" s="27">
        <f t="shared" si="10"/>
        <v>50.666666666666671</v>
      </c>
      <c r="K17" s="27">
        <f>AVERAGE(I17:I19)</f>
        <v>56.06349206349207</v>
      </c>
      <c r="L17" s="27">
        <f>AVERAGE(J17:J19)</f>
        <v>48.761904761904759</v>
      </c>
      <c r="M17" s="27">
        <f>_xlfn.STDEV.S(I17:I19)</f>
        <v>2.1994295969128563</v>
      </c>
      <c r="N17" s="27">
        <f>_xlfn.STDEV.S(J17:J19)</f>
        <v>1.9047619047619084</v>
      </c>
      <c r="O17" s="27">
        <f t="shared" ref="O17:P19" si="11">((150-G17)/1)*0.05</f>
        <v>4.0142857142857151</v>
      </c>
      <c r="P17" s="27">
        <f t="shared" si="11"/>
        <v>3.8000000000000003</v>
      </c>
      <c r="Q17" s="44">
        <f>AVERAGE(O17:O19)</f>
        <v>4.2047619047619049</v>
      </c>
      <c r="R17" s="44">
        <f>AVERAGE(P17:P19)</f>
        <v>3.657142857142857</v>
      </c>
      <c r="S17" s="45">
        <f>_xlfn.STDEV.S(O17:O19)</f>
        <v>0.16495721976846392</v>
      </c>
      <c r="T17" s="45">
        <f>_xlfn.STDEV.S(P17:P19)</f>
        <v>0.14285714285714302</v>
      </c>
    </row>
    <row r="18" spans="3:20" x14ac:dyDescent="0.25">
      <c r="C18" s="23"/>
      <c r="D18" s="27"/>
      <c r="E18" s="27">
        <v>5.5E-2</v>
      </c>
      <c r="F18" s="27">
        <v>6.6000000000000003E-2</v>
      </c>
      <c r="G18" s="27">
        <f t="shared" si="9"/>
        <v>64</v>
      </c>
      <c r="H18" s="27">
        <f t="shared" si="9"/>
        <v>79.714285714285722</v>
      </c>
      <c r="I18" s="27">
        <f t="shared" si="10"/>
        <v>57.333333333333336</v>
      </c>
      <c r="J18" s="27">
        <f t="shared" si="10"/>
        <v>46.857142857142854</v>
      </c>
      <c r="K18" s="27"/>
      <c r="L18" s="27"/>
      <c r="M18" s="27"/>
      <c r="N18" s="27"/>
      <c r="O18" s="27">
        <f t="shared" si="11"/>
        <v>4.3</v>
      </c>
      <c r="P18" s="27">
        <f t="shared" si="11"/>
        <v>3.5142857142857142</v>
      </c>
      <c r="Q18" s="45"/>
      <c r="R18" s="45"/>
      <c r="S18" s="45"/>
      <c r="T18" s="45"/>
    </row>
    <row r="19" spans="3:20" x14ac:dyDescent="0.25">
      <c r="C19" s="23"/>
      <c r="D19" s="27"/>
      <c r="E19" s="27">
        <v>5.5E-2</v>
      </c>
      <c r="F19" s="27">
        <v>6.4000000000000001E-2</v>
      </c>
      <c r="G19" s="27">
        <f t="shared" si="9"/>
        <v>64</v>
      </c>
      <c r="H19" s="27">
        <f t="shared" si="9"/>
        <v>76.857142857142861</v>
      </c>
      <c r="I19" s="27">
        <f t="shared" si="10"/>
        <v>57.333333333333336</v>
      </c>
      <c r="J19" s="27">
        <f t="shared" si="10"/>
        <v>48.761904761904759</v>
      </c>
      <c r="K19" s="27"/>
      <c r="L19" s="27"/>
      <c r="M19" s="27"/>
      <c r="N19" s="27"/>
      <c r="O19" s="27">
        <f t="shared" si="11"/>
        <v>4.3</v>
      </c>
      <c r="P19" s="27">
        <f t="shared" si="11"/>
        <v>3.657142857142857</v>
      </c>
      <c r="Q19" s="45"/>
      <c r="R19" s="45"/>
      <c r="S19" s="45"/>
      <c r="T19" s="45"/>
    </row>
    <row r="20" spans="3:20" x14ac:dyDescent="0.25">
      <c r="C20" s="23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6"/>
      <c r="Q20" s="45"/>
      <c r="R20" s="45"/>
      <c r="S20" s="45"/>
      <c r="T20" s="45"/>
    </row>
    <row r="21" spans="3:20" x14ac:dyDescent="0.25">
      <c r="C21" s="23"/>
      <c r="D21" s="27">
        <v>40</v>
      </c>
      <c r="E21" s="27">
        <v>4.5999999999999999E-2</v>
      </c>
      <c r="F21" s="27">
        <v>5.7000000000000002E-2</v>
      </c>
      <c r="G21" s="27">
        <f t="shared" ref="G21:H23" si="12">(E21-0.0102)/0.0007</f>
        <v>51.142857142857139</v>
      </c>
      <c r="H21" s="27">
        <f t="shared" si="12"/>
        <v>66.857142857142861</v>
      </c>
      <c r="I21" s="27">
        <f t="shared" ref="I21:J23" si="13">((150-G21)/150)*100</f>
        <v>65.904761904761912</v>
      </c>
      <c r="J21" s="27">
        <f t="shared" si="13"/>
        <v>55.428571428571431</v>
      </c>
      <c r="K21" s="27">
        <f>AVERAGE(I21:I23)</f>
        <v>66.222222222222229</v>
      </c>
      <c r="L21" s="27">
        <f>AVERAGE(J21:J23)</f>
        <v>58.603174603174608</v>
      </c>
      <c r="M21" s="27">
        <f>_xlfn.STDEV.S(I21:I23)</f>
        <v>1.4547859349066248</v>
      </c>
      <c r="N21" s="27">
        <f>_xlfn.STDEV.S(J21:J23)</f>
        <v>2.9095718698132327</v>
      </c>
      <c r="O21" s="27">
        <f t="shared" ref="O21:P23" si="14">((150-G21)/1)*0.05</f>
        <v>4.9428571428571431</v>
      </c>
      <c r="P21" s="27">
        <f t="shared" si="14"/>
        <v>4.1571428571428575</v>
      </c>
      <c r="Q21" s="44">
        <f>AVERAGE(O21:O23)</f>
        <v>4.9666666666666668</v>
      </c>
      <c r="R21" s="44">
        <f>AVERAGE(P21:P23)</f>
        <v>4.3952380952380956</v>
      </c>
      <c r="S21" s="45">
        <f>_xlfn.STDEV.S(O21:O23)</f>
        <v>0.10910894511799628</v>
      </c>
      <c r="T21" s="45">
        <f>_xlfn.STDEV.S(P21:P23)</f>
        <v>0.21821789023599247</v>
      </c>
    </row>
    <row r="22" spans="3:20" x14ac:dyDescent="0.25">
      <c r="C22" s="23"/>
      <c r="D22" s="27"/>
      <c r="E22" s="27">
        <v>4.3999999999999997E-2</v>
      </c>
      <c r="F22" s="27">
        <v>5.2999999999999999E-2</v>
      </c>
      <c r="G22" s="27">
        <f t="shared" si="12"/>
        <v>48.285714285714285</v>
      </c>
      <c r="H22" s="27">
        <f t="shared" si="12"/>
        <v>61.142857142857139</v>
      </c>
      <c r="I22" s="27">
        <f t="shared" si="13"/>
        <v>67.809523809523824</v>
      </c>
      <c r="J22" s="27">
        <f t="shared" si="13"/>
        <v>59.238095238095248</v>
      </c>
      <c r="K22" s="27"/>
      <c r="L22" s="27"/>
      <c r="M22" s="27"/>
      <c r="N22" s="27"/>
      <c r="O22" s="27">
        <f t="shared" si="14"/>
        <v>5.0857142857142863</v>
      </c>
      <c r="P22" s="27">
        <f t="shared" si="14"/>
        <v>4.4428571428571431</v>
      </c>
      <c r="Q22" s="45"/>
      <c r="R22" s="45"/>
      <c r="S22" s="45"/>
      <c r="T22" s="45"/>
    </row>
    <row r="23" spans="3:20" x14ac:dyDescent="0.25">
      <c r="C23" s="23"/>
      <c r="D23" s="27"/>
      <c r="E23" s="27">
        <v>4.7E-2</v>
      </c>
      <c r="F23" s="27">
        <v>5.0999999999999997E-2</v>
      </c>
      <c r="G23" s="27">
        <f t="shared" si="12"/>
        <v>52.571428571428569</v>
      </c>
      <c r="H23" s="27">
        <f t="shared" si="12"/>
        <v>58.285714285714278</v>
      </c>
      <c r="I23" s="27">
        <f t="shared" si="13"/>
        <v>64.952380952380949</v>
      </c>
      <c r="J23" s="27">
        <f t="shared" si="13"/>
        <v>61.142857142857146</v>
      </c>
      <c r="K23" s="27"/>
      <c r="L23" s="27"/>
      <c r="M23" s="27"/>
      <c r="N23" s="27"/>
      <c r="O23" s="27">
        <f t="shared" si="14"/>
        <v>4.8714285714285719</v>
      </c>
      <c r="P23" s="27">
        <f t="shared" si="14"/>
        <v>4.5857142857142863</v>
      </c>
      <c r="Q23" s="45"/>
      <c r="R23" s="45"/>
      <c r="S23" s="45"/>
      <c r="T23" s="45"/>
    </row>
    <row r="24" spans="3:20" x14ac:dyDescent="0.25">
      <c r="C24" s="2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4"/>
      <c r="P24" s="26"/>
      <c r="Q24" s="45"/>
      <c r="R24" s="45"/>
      <c r="S24" s="45"/>
      <c r="T24" s="45"/>
    </row>
    <row r="25" spans="3:20" x14ac:dyDescent="0.25">
      <c r="C25" s="24"/>
      <c r="D25" s="27">
        <v>60</v>
      </c>
      <c r="E25" s="27">
        <v>4.2000000000000003E-2</v>
      </c>
      <c r="F25" s="27">
        <v>4.9000000000000002E-2</v>
      </c>
      <c r="G25" s="27">
        <f t="shared" ref="G25:H27" si="15">(E25-0.0102)/0.0007</f>
        <v>45.428571428571431</v>
      </c>
      <c r="H25" s="27">
        <f t="shared" si="15"/>
        <v>55.428571428571431</v>
      </c>
      <c r="I25" s="27">
        <f t="shared" ref="I25:J27" si="16">((150-G25)/150)*100</f>
        <v>69.714285714285722</v>
      </c>
      <c r="J25" s="27">
        <f t="shared" si="16"/>
        <v>63.047619047619044</v>
      </c>
      <c r="K25" s="27">
        <f>AVERAGE(I25:I27)</f>
        <v>68.444444444444443</v>
      </c>
      <c r="L25" s="27">
        <f>AVERAGE(J25:J27)</f>
        <v>63.682539682539677</v>
      </c>
      <c r="M25" s="27">
        <f>_xlfn.STDEV.S(I25:I27)</f>
        <v>1.454785934906617</v>
      </c>
      <c r="N25" s="27">
        <f>_xlfn.STDEV.S(J25:J27)</f>
        <v>0.54985739922821719</v>
      </c>
      <c r="O25" s="27">
        <f t="shared" ref="O25:P27" si="17">((150-G25)/1)*0.05</f>
        <v>5.2285714285714286</v>
      </c>
      <c r="P25" s="27">
        <f t="shared" si="17"/>
        <v>4.7285714285714286</v>
      </c>
      <c r="Q25" s="44">
        <f>AVERAGE(O25:O27)</f>
        <v>5.1333333333333337</v>
      </c>
      <c r="R25" s="44">
        <f>AVERAGE(P25:P27)</f>
        <v>4.7761904761904761</v>
      </c>
      <c r="S25" s="45">
        <f>_xlfn.STDEV.S(O25:O27)</f>
        <v>0.10910894511799581</v>
      </c>
      <c r="T25" s="45">
        <f>_xlfn.STDEV.S(P25:P27)</f>
        <v>4.1239304942116493E-2</v>
      </c>
    </row>
    <row r="26" spans="3:20" x14ac:dyDescent="0.25">
      <c r="C26" s="23"/>
      <c r="D26" s="27"/>
      <c r="E26" s="27">
        <v>4.4999999999999998E-2</v>
      </c>
      <c r="F26" s="27">
        <v>4.8000000000000001E-2</v>
      </c>
      <c r="G26" s="27">
        <f t="shared" si="15"/>
        <v>49.714285714285708</v>
      </c>
      <c r="H26" s="27">
        <f t="shared" si="15"/>
        <v>54</v>
      </c>
      <c r="I26" s="27">
        <f t="shared" si="16"/>
        <v>66.857142857142861</v>
      </c>
      <c r="J26" s="27">
        <f t="shared" si="16"/>
        <v>64</v>
      </c>
      <c r="K26" s="27"/>
      <c r="L26" s="27"/>
      <c r="M26" s="27"/>
      <c r="N26" s="27"/>
      <c r="O26" s="27">
        <f t="shared" si="17"/>
        <v>5.0142857142857151</v>
      </c>
      <c r="P26" s="27">
        <f t="shared" si="17"/>
        <v>4.8000000000000007</v>
      </c>
      <c r="Q26" s="45"/>
      <c r="R26" s="45"/>
      <c r="S26" s="45"/>
      <c r="T26" s="45"/>
    </row>
    <row r="27" spans="3:20" x14ac:dyDescent="0.25">
      <c r="C27" s="23"/>
      <c r="D27" s="27"/>
      <c r="E27" s="27">
        <v>4.2999999999999997E-2</v>
      </c>
      <c r="F27" s="27">
        <v>4.8000000000000001E-2</v>
      </c>
      <c r="G27" s="27">
        <f t="shared" si="15"/>
        <v>46.857142857142854</v>
      </c>
      <c r="H27" s="27">
        <f t="shared" si="15"/>
        <v>54</v>
      </c>
      <c r="I27" s="27">
        <f t="shared" si="16"/>
        <v>68.761904761904759</v>
      </c>
      <c r="J27" s="27">
        <f t="shared" si="16"/>
        <v>64</v>
      </c>
      <c r="K27" s="27"/>
      <c r="L27" s="27"/>
      <c r="M27" s="27"/>
      <c r="N27" s="27"/>
      <c r="O27" s="27">
        <f t="shared" si="17"/>
        <v>5.1571428571428575</v>
      </c>
      <c r="P27" s="27">
        <f t="shared" si="17"/>
        <v>4.8000000000000007</v>
      </c>
      <c r="Q27" s="45"/>
      <c r="R27" s="45"/>
      <c r="S27" s="45"/>
      <c r="T27" s="45"/>
    </row>
    <row r="28" spans="3:20" ht="18" x14ac:dyDescent="0.35">
      <c r="C28" s="23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13" t="s">
        <v>5</v>
      </c>
      <c r="P28" s="26"/>
      <c r="Q28" s="45"/>
      <c r="R28" s="45"/>
      <c r="S28" s="45"/>
      <c r="T28" s="45"/>
    </row>
    <row r="29" spans="3:20" ht="18" x14ac:dyDescent="0.35">
      <c r="C29" s="24" t="s">
        <v>15</v>
      </c>
      <c r="D29" s="27">
        <v>80</v>
      </c>
      <c r="E29" s="27">
        <v>4.2000000000000003E-2</v>
      </c>
      <c r="F29" s="27">
        <v>4.7E-2</v>
      </c>
      <c r="G29" s="27">
        <f t="shared" ref="G29:H31" si="18">(E29-0.0102)/0.0007</f>
        <v>45.428571428571431</v>
      </c>
      <c r="H29" s="27">
        <f t="shared" si="18"/>
        <v>52.571428571428569</v>
      </c>
      <c r="I29" s="27">
        <f t="shared" ref="I29:J31" si="19">((150-G29)/150)*100</f>
        <v>69.714285714285722</v>
      </c>
      <c r="J29" s="27">
        <f t="shared" si="19"/>
        <v>64.952380952380949</v>
      </c>
      <c r="K29" s="27">
        <f>AVERAGE(I29:I31)</f>
        <v>69.07936507936509</v>
      </c>
      <c r="L29" s="27">
        <f>AVERAGE(J29:J31)</f>
        <v>65.904761904761912</v>
      </c>
      <c r="M29" s="27">
        <f>_xlfn.STDEV.S(I29:I31)</f>
        <v>1.0997147984564262</v>
      </c>
      <c r="N29" s="27">
        <f>_xlfn.STDEV.S(J29:J31)</f>
        <v>0.9523809523809561</v>
      </c>
      <c r="O29" s="27">
        <f t="shared" ref="O29:P31" si="20">((150-G29)/1)*0.05</f>
        <v>5.2285714285714286</v>
      </c>
      <c r="P29" s="27">
        <f t="shared" si="20"/>
        <v>4.8714285714285719</v>
      </c>
      <c r="Q29" s="44">
        <f>AVERAGE(O29:O31)</f>
        <v>5.1809523809523812</v>
      </c>
      <c r="R29" s="44">
        <f>AVERAGE(P29:P31)</f>
        <v>4.9428571428571431</v>
      </c>
      <c r="S29" s="45">
        <f>_xlfn.STDEV.S(O29:O31)</f>
        <v>8.247860988423196E-2</v>
      </c>
      <c r="T29" s="45">
        <f>_xlfn.STDEV.S(P29:P31)</f>
        <v>7.1428571428571619E-2</v>
      </c>
    </row>
    <row r="30" spans="3:20" x14ac:dyDescent="0.25">
      <c r="C30" s="23"/>
      <c r="D30" s="27"/>
      <c r="E30" s="27">
        <v>4.3999999999999997E-2</v>
      </c>
      <c r="F30" s="27">
        <v>4.4999999999999998E-2</v>
      </c>
      <c r="G30" s="27">
        <f t="shared" si="18"/>
        <v>48.285714285714285</v>
      </c>
      <c r="H30" s="27">
        <f t="shared" si="18"/>
        <v>49.714285714285708</v>
      </c>
      <c r="I30" s="27">
        <f t="shared" si="19"/>
        <v>67.809523809523824</v>
      </c>
      <c r="J30" s="27">
        <f t="shared" si="19"/>
        <v>66.857142857142861</v>
      </c>
      <c r="K30" s="27"/>
      <c r="L30" s="27"/>
      <c r="M30" s="27"/>
      <c r="N30" s="27"/>
      <c r="O30" s="27">
        <f t="shared" si="20"/>
        <v>5.0857142857142863</v>
      </c>
      <c r="P30" s="27">
        <f t="shared" si="20"/>
        <v>5.0142857142857151</v>
      </c>
      <c r="Q30" s="45"/>
      <c r="R30" s="45"/>
      <c r="S30" s="45"/>
      <c r="T30" s="45"/>
    </row>
    <row r="31" spans="3:20" x14ac:dyDescent="0.25">
      <c r="C31" s="23"/>
      <c r="D31" s="27"/>
      <c r="E31" s="27">
        <v>4.2000000000000003E-2</v>
      </c>
      <c r="F31" s="27">
        <v>4.5999999999999999E-2</v>
      </c>
      <c r="G31" s="27">
        <f t="shared" si="18"/>
        <v>45.428571428571431</v>
      </c>
      <c r="H31" s="27">
        <f t="shared" si="18"/>
        <v>51.142857142857139</v>
      </c>
      <c r="I31" s="27">
        <f t="shared" si="19"/>
        <v>69.714285714285722</v>
      </c>
      <c r="J31" s="27">
        <f t="shared" si="19"/>
        <v>65.904761904761912</v>
      </c>
      <c r="K31" s="27"/>
      <c r="L31" s="27"/>
      <c r="M31" s="27"/>
      <c r="N31" s="27"/>
      <c r="O31" s="27">
        <f t="shared" si="20"/>
        <v>5.2285714285714286</v>
      </c>
      <c r="P31" s="27">
        <f t="shared" si="20"/>
        <v>4.9428571428571431</v>
      </c>
      <c r="Q31" s="45"/>
      <c r="R31" s="45"/>
      <c r="S31" s="45"/>
      <c r="T31" s="45"/>
    </row>
    <row r="32" spans="3:20" x14ac:dyDescent="0.25">
      <c r="C32" s="42"/>
      <c r="D32" s="41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45"/>
      <c r="R32" s="45"/>
      <c r="S32" s="45"/>
      <c r="T32" s="45"/>
    </row>
    <row r="33" spans="3:21" x14ac:dyDescent="0.25">
      <c r="C33" s="24"/>
      <c r="D33" s="40">
        <v>120</v>
      </c>
      <c r="E33" s="40">
        <v>4.2000000000000003E-2</v>
      </c>
      <c r="F33" s="27">
        <v>4.7E-2</v>
      </c>
      <c r="G33" s="40">
        <f t="shared" ref="G33:H35" si="21">(E33-0.0102)/0.0007</f>
        <v>45.428571428571431</v>
      </c>
      <c r="H33" s="40">
        <f t="shared" si="21"/>
        <v>52.571428571428569</v>
      </c>
      <c r="I33" s="40">
        <f t="shared" ref="I33:J35" si="22">((150-G33)/150)*100</f>
        <v>69.714285714285722</v>
      </c>
      <c r="J33" s="40">
        <f t="shared" si="22"/>
        <v>64.952380952380949</v>
      </c>
      <c r="K33" s="40">
        <f>AVERAGE(I33:I35)</f>
        <v>69.07936507936509</v>
      </c>
      <c r="L33" s="40">
        <f>AVERAGE(J33:J35)</f>
        <v>65.904761904761912</v>
      </c>
      <c r="M33" s="40">
        <f>_xlfn.STDEV.S(I33:I35)</f>
        <v>1.0997147984564262</v>
      </c>
      <c r="N33" s="40">
        <f>_xlfn.STDEV.S(J33:J35)</f>
        <v>0.9523809523809561</v>
      </c>
      <c r="O33" s="40">
        <f t="shared" ref="O33:P35" si="23">((150-G33)/1)*0.05</f>
        <v>5.2285714285714286</v>
      </c>
      <c r="P33" s="40">
        <f t="shared" si="23"/>
        <v>4.8714285714285719</v>
      </c>
      <c r="Q33" s="44">
        <f>AVERAGE(O33:O35)</f>
        <v>5.1809523809523812</v>
      </c>
      <c r="R33" s="44">
        <f>AVERAGE(P33:P35)</f>
        <v>4.9428571428571431</v>
      </c>
      <c r="S33" s="45">
        <f>_xlfn.STDEV.S(O33:O35)</f>
        <v>8.247860988423196E-2</v>
      </c>
      <c r="T33" s="45">
        <f>_xlfn.STDEV.S(P33:P35)</f>
        <v>7.1428571428571619E-2</v>
      </c>
    </row>
    <row r="34" spans="3:21" x14ac:dyDescent="0.25">
      <c r="C34" s="23"/>
      <c r="D34" s="27"/>
      <c r="E34" s="27">
        <v>4.2000000000000003E-2</v>
      </c>
      <c r="F34" s="27">
        <v>4.4999999999999998E-2</v>
      </c>
      <c r="G34" s="27">
        <f t="shared" si="21"/>
        <v>45.428571428571431</v>
      </c>
      <c r="H34" s="27">
        <f t="shared" si="21"/>
        <v>49.714285714285708</v>
      </c>
      <c r="I34" s="27">
        <f t="shared" si="22"/>
        <v>69.714285714285722</v>
      </c>
      <c r="J34" s="27">
        <f t="shared" si="22"/>
        <v>66.857142857142861</v>
      </c>
      <c r="K34" s="27"/>
      <c r="L34" s="27"/>
      <c r="M34" s="27"/>
      <c r="N34" s="27"/>
      <c r="O34" s="27">
        <f t="shared" si="23"/>
        <v>5.2285714285714286</v>
      </c>
      <c r="P34" s="27">
        <f t="shared" si="23"/>
        <v>5.0142857142857151</v>
      </c>
      <c r="Q34" s="45"/>
      <c r="R34" s="45"/>
      <c r="S34" s="45"/>
      <c r="T34" s="45"/>
    </row>
    <row r="35" spans="3:21" x14ac:dyDescent="0.25">
      <c r="C35" s="25"/>
      <c r="D35" s="27"/>
      <c r="E35" s="27">
        <v>4.3999999999999997E-2</v>
      </c>
      <c r="F35" s="27">
        <v>4.5999999999999999E-2</v>
      </c>
      <c r="G35" s="27">
        <f t="shared" si="21"/>
        <v>48.285714285714285</v>
      </c>
      <c r="H35" s="27">
        <f t="shared" si="21"/>
        <v>51.142857142857139</v>
      </c>
      <c r="I35" s="27">
        <f t="shared" si="22"/>
        <v>67.809523809523824</v>
      </c>
      <c r="J35" s="27">
        <f t="shared" si="22"/>
        <v>65.904761904761912</v>
      </c>
      <c r="K35" s="27"/>
      <c r="L35" s="27"/>
      <c r="M35" s="27"/>
      <c r="N35" s="27"/>
      <c r="O35" s="27">
        <f t="shared" si="23"/>
        <v>5.0857142857142863</v>
      </c>
      <c r="P35" s="27">
        <f t="shared" si="23"/>
        <v>4.9428571428571431</v>
      </c>
      <c r="Q35" s="45"/>
      <c r="R35" s="45"/>
      <c r="S35" s="45"/>
      <c r="T35" s="45"/>
    </row>
    <row r="36" spans="3:21" x14ac:dyDescent="0.25">
      <c r="C36" s="18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18"/>
    </row>
    <row r="37" spans="3:21" x14ac:dyDescent="0.25">
      <c r="C37" s="18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</row>
    <row r="39" spans="3:21" ht="18" x14ac:dyDescent="0.35">
      <c r="C39" s="39" t="s">
        <v>12</v>
      </c>
      <c r="D39" s="261" t="s">
        <v>18</v>
      </c>
      <c r="E39" s="262"/>
      <c r="F39" s="262"/>
      <c r="G39" s="263"/>
      <c r="Q39" s="39" t="s">
        <v>12</v>
      </c>
      <c r="R39" s="261" t="s">
        <v>13</v>
      </c>
      <c r="S39" s="262"/>
      <c r="T39" s="262"/>
      <c r="U39" s="263"/>
    </row>
    <row r="40" spans="3:21" x14ac:dyDescent="0.25">
      <c r="C40" s="30"/>
      <c r="D40" s="28" t="s">
        <v>16</v>
      </c>
      <c r="E40" s="28" t="s">
        <v>9</v>
      </c>
      <c r="F40" s="28" t="s">
        <v>17</v>
      </c>
      <c r="G40" s="29" t="s">
        <v>9</v>
      </c>
      <c r="Q40" s="30"/>
      <c r="R40" s="31" t="s">
        <v>16</v>
      </c>
      <c r="S40" s="31" t="s">
        <v>9</v>
      </c>
      <c r="T40" s="31" t="s">
        <v>17</v>
      </c>
      <c r="U40" s="32" t="s">
        <v>9</v>
      </c>
    </row>
    <row r="41" spans="3:21" x14ac:dyDescent="0.25">
      <c r="C41" s="33">
        <v>5</v>
      </c>
      <c r="D41" s="34">
        <f>K5</f>
        <v>37.968253968253968</v>
      </c>
      <c r="E41" s="34">
        <f>M5</f>
        <v>2.1994295969128648</v>
      </c>
      <c r="F41" s="34">
        <f>L5</f>
        <v>34.158730158730151</v>
      </c>
      <c r="G41" s="35">
        <f>N5</f>
        <v>1.0997147984564302</v>
      </c>
      <c r="Q41" s="33">
        <v>0</v>
      </c>
      <c r="R41" s="34">
        <v>0</v>
      </c>
      <c r="S41" s="34">
        <v>0</v>
      </c>
      <c r="T41" s="34">
        <v>0</v>
      </c>
      <c r="U41" s="35">
        <v>0</v>
      </c>
    </row>
    <row r="42" spans="3:21" x14ac:dyDescent="0.25">
      <c r="C42" s="33">
        <v>10</v>
      </c>
      <c r="D42" s="34">
        <f>K9</f>
        <v>43.682539682539677</v>
      </c>
      <c r="E42" s="34">
        <f>M9</f>
        <v>1.4547859349066061</v>
      </c>
      <c r="F42" s="34">
        <f>L9</f>
        <v>38.603174603174608</v>
      </c>
      <c r="G42" s="35">
        <f>N9</f>
        <v>1.4547859349066139</v>
      </c>
      <c r="Q42" s="33">
        <v>5</v>
      </c>
      <c r="R42" s="34">
        <f>Q5</f>
        <v>2.8476190476190477</v>
      </c>
      <c r="S42" s="34">
        <f>S5</f>
        <v>0.16495721976846467</v>
      </c>
      <c r="T42" s="34">
        <f>R5</f>
        <v>2.5619047619047617</v>
      </c>
      <c r="U42" s="35">
        <f>T5</f>
        <v>8.247860988423221E-2</v>
      </c>
    </row>
    <row r="43" spans="3:21" x14ac:dyDescent="0.25">
      <c r="C43" s="33">
        <v>15</v>
      </c>
      <c r="D43" s="34">
        <f>K13</f>
        <v>49.714285714285715</v>
      </c>
      <c r="E43" s="34">
        <f>M13</f>
        <v>2.5197631533948472</v>
      </c>
      <c r="F43" s="34">
        <f>L13</f>
        <v>43.047619047619037</v>
      </c>
      <c r="G43" s="35">
        <f>N13</f>
        <v>0.95238095238094189</v>
      </c>
      <c r="Q43" s="33">
        <v>10</v>
      </c>
      <c r="R43" s="34">
        <f>Q9</f>
        <v>3.2761904761904765</v>
      </c>
      <c r="S43" s="34">
        <f>S9</f>
        <v>0.10910894511799551</v>
      </c>
      <c r="T43" s="34">
        <f>R9</f>
        <v>2.8952380952380956</v>
      </c>
      <c r="U43" s="35">
        <f>T9</f>
        <v>0.10910894511799624</v>
      </c>
    </row>
    <row r="44" spans="3:21" x14ac:dyDescent="0.25">
      <c r="C44" s="33">
        <v>20</v>
      </c>
      <c r="D44" s="34">
        <f>K17</f>
        <v>56.06349206349207</v>
      </c>
      <c r="E44" s="34">
        <f>M17</f>
        <v>2.1994295969128563</v>
      </c>
      <c r="F44" s="34">
        <f>L17</f>
        <v>48.761904761904759</v>
      </c>
      <c r="G44" s="35">
        <f>N17</f>
        <v>1.9047619047619084</v>
      </c>
      <c r="Q44" s="33">
        <v>15</v>
      </c>
      <c r="R44" s="34">
        <f>Q13</f>
        <v>3.7285714285714282</v>
      </c>
      <c r="S44" s="34">
        <f>S13</f>
        <v>0.18898223650461388</v>
      </c>
      <c r="T44" s="34">
        <f>R13</f>
        <v>3.2285714285714282</v>
      </c>
      <c r="U44" s="35">
        <f>T13</f>
        <v>7.1428571428570731E-2</v>
      </c>
    </row>
    <row r="45" spans="3:21" x14ac:dyDescent="0.25">
      <c r="C45" s="33">
        <v>40</v>
      </c>
      <c r="D45" s="34">
        <f>K21</f>
        <v>66.222222222222229</v>
      </c>
      <c r="E45" s="34">
        <f>M21</f>
        <v>1.4547859349066248</v>
      </c>
      <c r="F45" s="34">
        <f>L21</f>
        <v>58.603174603174608</v>
      </c>
      <c r="G45" s="35">
        <f>N21</f>
        <v>2.9095718698132327</v>
      </c>
      <c r="Q45" s="33">
        <v>20</v>
      </c>
      <c r="R45" s="34">
        <f>Q17</f>
        <v>4.2047619047619049</v>
      </c>
      <c r="S45" s="34">
        <f>S17</f>
        <v>0.16495721976846392</v>
      </c>
      <c r="T45" s="34">
        <f>R17</f>
        <v>3.657142857142857</v>
      </c>
      <c r="U45" s="35">
        <f>T17</f>
        <v>0.14285714285714302</v>
      </c>
    </row>
    <row r="46" spans="3:21" x14ac:dyDescent="0.25">
      <c r="C46" s="33">
        <v>60</v>
      </c>
      <c r="D46" s="34">
        <f>K25</f>
        <v>68.444444444444443</v>
      </c>
      <c r="E46" s="34">
        <f>M25</f>
        <v>1.454785934906617</v>
      </c>
      <c r="F46" s="34">
        <f>L25</f>
        <v>63.682539682539677</v>
      </c>
      <c r="G46" s="35">
        <f>N25</f>
        <v>0.54985739922821719</v>
      </c>
      <c r="Q46" s="33">
        <v>40</v>
      </c>
      <c r="R46" s="34">
        <f>Q21</f>
        <v>4.9666666666666668</v>
      </c>
      <c r="S46" s="34">
        <f>S21</f>
        <v>0.10910894511799628</v>
      </c>
      <c r="T46" s="34">
        <f>R21</f>
        <v>4.3952380952380956</v>
      </c>
      <c r="U46" s="35">
        <f>T21</f>
        <v>0.21821789023599247</v>
      </c>
    </row>
    <row r="47" spans="3:21" x14ac:dyDescent="0.25">
      <c r="C47" s="33">
        <v>80</v>
      </c>
      <c r="D47" s="34">
        <f>K29</f>
        <v>69.07936507936509</v>
      </c>
      <c r="E47" s="34">
        <f>M29</f>
        <v>1.0997147984564262</v>
      </c>
      <c r="F47" s="34">
        <f>L29</f>
        <v>65.904761904761912</v>
      </c>
      <c r="G47" s="35">
        <f>N29</f>
        <v>0.9523809523809561</v>
      </c>
      <c r="Q47" s="33">
        <v>60</v>
      </c>
      <c r="R47" s="34">
        <f>Q25</f>
        <v>5.1333333333333337</v>
      </c>
      <c r="S47" s="34">
        <f>S25</f>
        <v>0.10910894511799581</v>
      </c>
      <c r="T47" s="34">
        <f>R25</f>
        <v>4.7761904761904761</v>
      </c>
      <c r="U47" s="35">
        <f>T25</f>
        <v>4.1239304942116493E-2</v>
      </c>
    </row>
    <row r="48" spans="3:21" x14ac:dyDescent="0.25">
      <c r="C48" s="36">
        <v>120</v>
      </c>
      <c r="D48" s="37">
        <f>K33</f>
        <v>69.07936507936509</v>
      </c>
      <c r="E48" s="37">
        <f>M33</f>
        <v>1.0997147984564262</v>
      </c>
      <c r="F48" s="37">
        <f>L33</f>
        <v>65.904761904761912</v>
      </c>
      <c r="G48" s="38">
        <f>N33</f>
        <v>0.9523809523809561</v>
      </c>
      <c r="Q48" s="33">
        <v>80</v>
      </c>
      <c r="R48" s="34">
        <f>Q29</f>
        <v>5.1809523809523812</v>
      </c>
      <c r="S48" s="34">
        <f>S29</f>
        <v>8.247860988423196E-2</v>
      </c>
      <c r="T48" s="34">
        <f>R29</f>
        <v>4.9428571428571431</v>
      </c>
      <c r="U48" s="35">
        <f>T29</f>
        <v>7.1428571428571619E-2</v>
      </c>
    </row>
    <row r="49" spans="17:21" x14ac:dyDescent="0.25">
      <c r="Q49" s="36">
        <v>120</v>
      </c>
      <c r="R49" s="37">
        <f>Q33</f>
        <v>5.1809523809523812</v>
      </c>
      <c r="S49" s="37">
        <f>S33</f>
        <v>8.247860988423196E-2</v>
      </c>
      <c r="T49" s="37">
        <f>R33</f>
        <v>4.9428571428571431</v>
      </c>
      <c r="U49" s="38">
        <f>T33</f>
        <v>7.1428571428571619E-2</v>
      </c>
    </row>
    <row r="69" spans="3:12" x14ac:dyDescent="0.25">
      <c r="G69" t="s">
        <v>109</v>
      </c>
    </row>
    <row r="71" spans="3:12" x14ac:dyDescent="0.25">
      <c r="C71" s="270" t="s">
        <v>26</v>
      </c>
      <c r="D71" s="270"/>
      <c r="E71" s="270"/>
      <c r="F71" s="270"/>
      <c r="G71" s="270"/>
      <c r="H71" s="271" t="s">
        <v>27</v>
      </c>
      <c r="I71" s="272"/>
      <c r="J71" s="272"/>
      <c r="K71" s="272"/>
      <c r="L71" s="273"/>
    </row>
    <row r="72" spans="3:12" x14ac:dyDescent="0.25">
      <c r="C72" s="47" t="s">
        <v>0</v>
      </c>
      <c r="D72" s="47" t="s">
        <v>24</v>
      </c>
      <c r="E72" s="47" t="s">
        <v>23</v>
      </c>
      <c r="F72" s="267" t="s">
        <v>120</v>
      </c>
      <c r="G72" s="269"/>
      <c r="H72" s="54" t="s">
        <v>0</v>
      </c>
      <c r="I72" s="54" t="s">
        <v>24</v>
      </c>
      <c r="J72" s="54" t="s">
        <v>23</v>
      </c>
      <c r="K72" s="274" t="s">
        <v>120</v>
      </c>
      <c r="L72" s="275"/>
    </row>
    <row r="73" spans="3:12" ht="18.75" x14ac:dyDescent="0.35">
      <c r="C73" s="47" t="s">
        <v>12</v>
      </c>
      <c r="D73" s="47" t="s">
        <v>21</v>
      </c>
      <c r="E73" s="47" t="s">
        <v>22</v>
      </c>
      <c r="F73" s="47" t="s">
        <v>122</v>
      </c>
      <c r="G73" s="47" t="s">
        <v>121</v>
      </c>
      <c r="H73" s="54" t="s">
        <v>12</v>
      </c>
      <c r="I73" s="54" t="s">
        <v>21</v>
      </c>
      <c r="J73" s="54" t="s">
        <v>22</v>
      </c>
      <c r="K73" s="54" t="s">
        <v>122</v>
      </c>
      <c r="L73" s="54" t="s">
        <v>121</v>
      </c>
    </row>
    <row r="74" spans="3:12" x14ac:dyDescent="0.25">
      <c r="C74" s="48">
        <v>5</v>
      </c>
      <c r="D74" s="48">
        <f>LN(Q29-Q5)</f>
        <v>0.84729786038720367</v>
      </c>
      <c r="E74" s="48">
        <f>D5/Q5</f>
        <v>1.7558528428093645</v>
      </c>
      <c r="F74" s="255">
        <f>Q5</f>
        <v>2.8476190476190477</v>
      </c>
      <c r="G74" s="255">
        <f>C74^0.5</f>
        <v>2.2360679774997898</v>
      </c>
      <c r="H74" s="55">
        <v>5</v>
      </c>
      <c r="I74" s="55">
        <f>LN(R29-R5)</f>
        <v>0.86750056770472328</v>
      </c>
      <c r="J74" s="55">
        <f>D5/R5</f>
        <v>1.9516728624535318</v>
      </c>
      <c r="K74" s="72">
        <f>R5</f>
        <v>2.5619047619047617</v>
      </c>
      <c r="L74" s="72">
        <f>H74^0.5</f>
        <v>2.2360679774997898</v>
      </c>
    </row>
    <row r="75" spans="3:12" x14ac:dyDescent="0.25">
      <c r="C75" s="48">
        <v>10</v>
      </c>
      <c r="D75" s="48">
        <f>LN(Q29-Q9)</f>
        <v>0.64435701639051324</v>
      </c>
      <c r="E75" s="48">
        <f>D9/Q9</f>
        <v>3.0523255813953485</v>
      </c>
      <c r="F75" s="255">
        <f>Q9</f>
        <v>3.2761904761904765</v>
      </c>
      <c r="G75" s="255">
        <f t="shared" ref="G75:G79" si="24">C75^0.5</f>
        <v>3.1622776601683795</v>
      </c>
      <c r="H75" s="55">
        <v>10</v>
      </c>
      <c r="I75" s="55">
        <f>LN(R29-R9)</f>
        <v>0.71667767797013937</v>
      </c>
      <c r="J75" s="55">
        <f>D9/R9</f>
        <v>3.4539473684210522</v>
      </c>
      <c r="K75" s="72">
        <f>R9</f>
        <v>2.8952380952380956</v>
      </c>
      <c r="L75" s="72">
        <f t="shared" ref="L75:L79" si="25">H75^0.5</f>
        <v>3.1622776601683795</v>
      </c>
    </row>
    <row r="76" spans="3:12" x14ac:dyDescent="0.25">
      <c r="C76" s="48">
        <v>15</v>
      </c>
      <c r="D76" s="48">
        <f>LN(Q29-Q13)</f>
        <v>0.37320424588994339</v>
      </c>
      <c r="E76" s="48">
        <f>D13/Q13</f>
        <v>4.0229885057471266</v>
      </c>
      <c r="F76" s="255">
        <f>Q13</f>
        <v>3.7285714285714282</v>
      </c>
      <c r="G76" s="255">
        <f t="shared" si="24"/>
        <v>3.872983346207417</v>
      </c>
      <c r="H76" s="55">
        <v>15</v>
      </c>
      <c r="I76" s="55">
        <f>LN(R29-R13)</f>
        <v>0.53899650073268734</v>
      </c>
      <c r="J76" s="55">
        <f>D13/R13</f>
        <v>4.6460176991150446</v>
      </c>
      <c r="K76" s="72">
        <f>R13</f>
        <v>3.2285714285714282</v>
      </c>
      <c r="L76" s="72">
        <f t="shared" si="25"/>
        <v>3.872983346207417</v>
      </c>
    </row>
    <row r="77" spans="3:12" x14ac:dyDescent="0.25">
      <c r="C77" s="48">
        <v>20</v>
      </c>
      <c r="D77" s="48">
        <f>LN(Q29-Q17)</f>
        <v>-2.4097551579060416E-2</v>
      </c>
      <c r="E77" s="48">
        <f>D17/Q17</f>
        <v>4.756511891279728</v>
      </c>
      <c r="F77" s="255">
        <f>Q17</f>
        <v>4.2047619047619049</v>
      </c>
      <c r="G77" s="255">
        <f t="shared" si="24"/>
        <v>4.4721359549995796</v>
      </c>
      <c r="H77" s="55">
        <v>20</v>
      </c>
      <c r="I77" s="55">
        <f>LN(R29-R17)</f>
        <v>0.25131442828090633</v>
      </c>
      <c r="J77" s="55">
        <f>D17/R17</f>
        <v>5.46875</v>
      </c>
      <c r="K77" s="72">
        <f>R17</f>
        <v>3.657142857142857</v>
      </c>
      <c r="L77" s="72">
        <f t="shared" si="25"/>
        <v>4.4721359549995796</v>
      </c>
    </row>
    <row r="78" spans="3:12" x14ac:dyDescent="0.25">
      <c r="C78" s="48">
        <v>40</v>
      </c>
      <c r="D78" s="48">
        <f>LN(Q29-Q21)</f>
        <v>-1.5404450409471484</v>
      </c>
      <c r="E78" s="48">
        <f>D21/Q21</f>
        <v>8.0536912751677843</v>
      </c>
      <c r="F78" s="255">
        <f>Q21</f>
        <v>4.9666666666666668</v>
      </c>
      <c r="G78" s="255">
        <f t="shared" si="24"/>
        <v>6.324555320336759</v>
      </c>
      <c r="H78" s="55">
        <v>40</v>
      </c>
      <c r="I78" s="55">
        <f>LN(R29-R21)</f>
        <v>-0.60217540235421896</v>
      </c>
      <c r="J78" s="55">
        <f>D21/R21</f>
        <v>9.1007583965330436</v>
      </c>
      <c r="K78" s="72">
        <f>R21</f>
        <v>4.3952380952380956</v>
      </c>
      <c r="L78" s="72">
        <f t="shared" si="25"/>
        <v>6.324555320336759</v>
      </c>
    </row>
    <row r="79" spans="3:12" x14ac:dyDescent="0.25">
      <c r="C79" s="48">
        <v>60</v>
      </c>
      <c r="D79" s="48">
        <f>LN(Q29-Q25)</f>
        <v>-3.0445224377234266</v>
      </c>
      <c r="E79" s="48">
        <f>D25/Q25</f>
        <v>11.688311688311687</v>
      </c>
      <c r="F79" s="255">
        <f>Q25</f>
        <v>5.1333333333333337</v>
      </c>
      <c r="G79" s="255">
        <f t="shared" si="24"/>
        <v>7.745966692414834</v>
      </c>
      <c r="H79" s="55">
        <v>60</v>
      </c>
      <c r="I79" s="55">
        <f>LN(R29-R25)</f>
        <v>-1.7917594692280532</v>
      </c>
      <c r="J79" s="55">
        <f>D25/R25</f>
        <v>12.562313060817548</v>
      </c>
      <c r="K79" s="72">
        <f>R25</f>
        <v>4.7761904761904761</v>
      </c>
      <c r="L79" s="72">
        <f t="shared" si="25"/>
        <v>7.745966692414834</v>
      </c>
    </row>
    <row r="80" spans="3:12" x14ac:dyDescent="0.25">
      <c r="C80" s="21"/>
      <c r="D80" s="21"/>
      <c r="E80" s="21"/>
    </row>
    <row r="81" spans="3:16" x14ac:dyDescent="0.25">
      <c r="C81" s="18"/>
      <c r="D81" s="21"/>
      <c r="E81" s="21"/>
      <c r="F81" s="21"/>
      <c r="G81" s="49"/>
      <c r="H81" s="49"/>
    </row>
    <row r="82" spans="3:16" x14ac:dyDescent="0.25">
      <c r="C82" s="50"/>
      <c r="F82" s="18"/>
    </row>
    <row r="83" spans="3:16" x14ac:dyDescent="0.25">
      <c r="C83" s="50"/>
    </row>
    <row r="84" spans="3:16" x14ac:dyDescent="0.25">
      <c r="C84" s="56" t="s">
        <v>0</v>
      </c>
    </row>
    <row r="85" spans="3:16" x14ac:dyDescent="0.25">
      <c r="C85" s="57" t="s">
        <v>39</v>
      </c>
      <c r="D85" s="264" t="s">
        <v>33</v>
      </c>
      <c r="E85" s="265"/>
      <c r="F85" s="265"/>
      <c r="G85" s="266"/>
      <c r="H85" s="267" t="s">
        <v>34</v>
      </c>
      <c r="I85" s="268"/>
      <c r="J85" s="268"/>
      <c r="K85" s="268"/>
      <c r="L85" s="269"/>
      <c r="M85" s="276" t="s">
        <v>125</v>
      </c>
      <c r="N85" s="276"/>
      <c r="O85" s="276"/>
      <c r="P85" s="196"/>
    </row>
    <row r="86" spans="3:16" ht="18.75" x14ac:dyDescent="0.35">
      <c r="C86" s="58"/>
      <c r="D86" s="51" t="s">
        <v>30</v>
      </c>
      <c r="E86" s="51" t="s">
        <v>31</v>
      </c>
      <c r="F86" s="51" t="s">
        <v>32</v>
      </c>
      <c r="G86" s="51" t="s">
        <v>35</v>
      </c>
      <c r="H86" s="47" t="s">
        <v>36</v>
      </c>
      <c r="I86" s="47" t="s">
        <v>32</v>
      </c>
      <c r="J86" s="47" t="s">
        <v>37</v>
      </c>
      <c r="K86" s="47" t="s">
        <v>38</v>
      </c>
      <c r="L86" s="47" t="s">
        <v>35</v>
      </c>
      <c r="M86" s="100" t="s">
        <v>123</v>
      </c>
      <c r="N86" s="100" t="s">
        <v>124</v>
      </c>
      <c r="O86" s="100" t="s">
        <v>35</v>
      </c>
      <c r="P86" s="18"/>
    </row>
    <row r="87" spans="3:16" x14ac:dyDescent="0.25">
      <c r="C87" s="53" t="s">
        <v>40</v>
      </c>
      <c r="D87" s="52">
        <v>7.2700000000000001E-2</v>
      </c>
      <c r="E87" s="52">
        <v>1.3594999999999999</v>
      </c>
      <c r="F87" s="52">
        <f>EXP(E87)</f>
        <v>3.8942456920873187</v>
      </c>
      <c r="G87" s="52">
        <v>0.99660000000000004</v>
      </c>
      <c r="H87" s="48">
        <v>0.18709999999999999</v>
      </c>
      <c r="I87" s="48">
        <f>1/H87</f>
        <v>5.344735435595938</v>
      </c>
      <c r="J87" s="48">
        <v>1.5206</v>
      </c>
      <c r="K87" s="48">
        <f>1/(J87*I87*I87)</f>
        <v>2.302144548204656E-2</v>
      </c>
      <c r="L87" s="48">
        <v>0.99739999999999995</v>
      </c>
      <c r="M87" s="101">
        <v>0.435</v>
      </c>
      <c r="N87" s="101">
        <v>2.0095999999999998</v>
      </c>
      <c r="O87" s="101">
        <v>0.95299999999999996</v>
      </c>
      <c r="P87" s="18"/>
    </row>
    <row r="88" spans="3:16" x14ac:dyDescent="0.25">
      <c r="C88" s="53" t="s">
        <v>41</v>
      </c>
      <c r="D88" s="52">
        <v>4.8399999999999999E-2</v>
      </c>
      <c r="E88" s="52">
        <v>1.2069000000000001</v>
      </c>
      <c r="F88" s="52">
        <f>EXP(E88)</f>
        <v>3.3431049469821636</v>
      </c>
      <c r="G88" s="52">
        <v>0.99270000000000003</v>
      </c>
      <c r="H88" s="48">
        <v>0.17499999999999999</v>
      </c>
      <c r="I88" s="48">
        <f>1/H88</f>
        <v>5.7142857142857144</v>
      </c>
      <c r="J88" s="48">
        <v>1.1801999999999999</v>
      </c>
      <c r="K88" s="48">
        <f>1/(J88*I88*I88)</f>
        <v>2.594899169632266E-2</v>
      </c>
      <c r="L88" s="48">
        <v>0.99419999999999997</v>
      </c>
      <c r="M88" s="101">
        <v>0.41799999999999998</v>
      </c>
      <c r="N88" s="101">
        <v>1.6479999999999999</v>
      </c>
      <c r="O88" s="101">
        <v>0.98670000000000002</v>
      </c>
      <c r="P88" s="18"/>
    </row>
    <row r="89" spans="3:16" x14ac:dyDescent="0.25">
      <c r="P89" s="256"/>
    </row>
    <row r="91" spans="3:16" x14ac:dyDescent="0.25">
      <c r="C91" s="66"/>
      <c r="D91" s="257" t="s">
        <v>20</v>
      </c>
      <c r="E91" s="258"/>
      <c r="F91" s="259" t="s">
        <v>42</v>
      </c>
      <c r="G91" s="260"/>
    </row>
    <row r="92" spans="3:16" ht="18" x14ac:dyDescent="0.35">
      <c r="C92" s="67"/>
      <c r="D92" s="59" t="s">
        <v>28</v>
      </c>
      <c r="E92" s="60" t="s">
        <v>29</v>
      </c>
      <c r="F92" s="62" t="s">
        <v>28</v>
      </c>
      <c r="G92" s="63" t="s">
        <v>29</v>
      </c>
    </row>
    <row r="93" spans="3:16" x14ac:dyDescent="0.25">
      <c r="C93" s="68" t="s">
        <v>40</v>
      </c>
      <c r="D93" s="46">
        <f>O29</f>
        <v>5.2285714285714286</v>
      </c>
      <c r="E93" s="46">
        <f>F87</f>
        <v>3.8942456920873187</v>
      </c>
      <c r="F93" s="64">
        <f>D93</f>
        <v>5.2285714285714286</v>
      </c>
      <c r="G93" s="35">
        <f>I87</f>
        <v>5.344735435595938</v>
      </c>
    </row>
    <row r="94" spans="3:16" x14ac:dyDescent="0.25">
      <c r="C94" s="69" t="s">
        <v>41</v>
      </c>
      <c r="D94" s="61">
        <f>P29</f>
        <v>4.8714285714285719</v>
      </c>
      <c r="E94" s="61">
        <f>F88</f>
        <v>3.3431049469821636</v>
      </c>
      <c r="F94" s="65">
        <f>D94</f>
        <v>4.8714285714285719</v>
      </c>
      <c r="G94" s="38">
        <f>I88</f>
        <v>5.7142857142857144</v>
      </c>
    </row>
  </sheetData>
  <mergeCells count="11">
    <mergeCell ref="D91:E91"/>
    <mergeCell ref="F91:G91"/>
    <mergeCell ref="D39:G39"/>
    <mergeCell ref="R39:U39"/>
    <mergeCell ref="D85:G85"/>
    <mergeCell ref="H85:L85"/>
    <mergeCell ref="C71:G71"/>
    <mergeCell ref="F72:G72"/>
    <mergeCell ref="H71:L71"/>
    <mergeCell ref="K72:L72"/>
    <mergeCell ref="M85:O8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AM39"/>
  <sheetViews>
    <sheetView topLeftCell="A32" workbookViewId="0">
      <selection activeCell="L61" sqref="L61"/>
    </sheetView>
  </sheetViews>
  <sheetFormatPr defaultRowHeight="15" x14ac:dyDescent="0.25"/>
  <sheetData>
    <row r="3" spans="3:39" x14ac:dyDescent="0.25">
      <c r="C3" s="4"/>
      <c r="D3" s="9"/>
      <c r="E3" s="6" t="s">
        <v>8</v>
      </c>
      <c r="F3" s="6" t="s">
        <v>7</v>
      </c>
      <c r="G3" s="6" t="s">
        <v>8</v>
      </c>
      <c r="H3" s="6" t="s">
        <v>7</v>
      </c>
      <c r="I3" s="6" t="s">
        <v>8</v>
      </c>
      <c r="J3" s="6" t="s">
        <v>7</v>
      </c>
      <c r="K3" s="6" t="s">
        <v>8</v>
      </c>
      <c r="L3" s="6" t="s">
        <v>7</v>
      </c>
      <c r="M3" s="6" t="s">
        <v>8</v>
      </c>
      <c r="N3" s="6" t="s">
        <v>7</v>
      </c>
      <c r="O3" s="6" t="s">
        <v>8</v>
      </c>
      <c r="P3" s="6" t="s">
        <v>7</v>
      </c>
      <c r="Q3" s="6" t="s">
        <v>8</v>
      </c>
      <c r="R3" s="6" t="s">
        <v>7</v>
      </c>
      <c r="S3" s="6" t="s">
        <v>8</v>
      </c>
      <c r="T3" s="6" t="s">
        <v>7</v>
      </c>
      <c r="V3" s="80"/>
      <c r="W3" s="81"/>
      <c r="X3" s="82" t="s">
        <v>8</v>
      </c>
      <c r="Y3" s="82" t="s">
        <v>7</v>
      </c>
      <c r="Z3" s="82" t="s">
        <v>8</v>
      </c>
      <c r="AA3" s="82" t="s">
        <v>7</v>
      </c>
      <c r="AB3" s="82" t="s">
        <v>8</v>
      </c>
      <c r="AC3" s="82" t="s">
        <v>7</v>
      </c>
      <c r="AD3" s="82" t="s">
        <v>8</v>
      </c>
      <c r="AE3" s="82" t="s">
        <v>7</v>
      </c>
      <c r="AF3" s="82" t="s">
        <v>8</v>
      </c>
      <c r="AG3" s="82" t="s">
        <v>7</v>
      </c>
      <c r="AH3" s="82" t="s">
        <v>8</v>
      </c>
      <c r="AI3" s="82" t="s">
        <v>7</v>
      </c>
      <c r="AJ3" s="82" t="s">
        <v>8</v>
      </c>
      <c r="AK3" s="82" t="s">
        <v>7</v>
      </c>
      <c r="AL3" s="82" t="s">
        <v>8</v>
      </c>
      <c r="AM3" s="82" t="s">
        <v>7</v>
      </c>
    </row>
    <row r="4" spans="3:39" ht="18" x14ac:dyDescent="0.35">
      <c r="C4" s="3" t="s">
        <v>0</v>
      </c>
      <c r="D4" s="6" t="s">
        <v>1</v>
      </c>
      <c r="E4" s="1" t="s">
        <v>2</v>
      </c>
      <c r="F4" s="1" t="s">
        <v>2</v>
      </c>
      <c r="G4" s="6" t="s">
        <v>3</v>
      </c>
      <c r="H4" s="6" t="s">
        <v>3</v>
      </c>
      <c r="I4" s="6" t="s">
        <v>4</v>
      </c>
      <c r="J4" s="6" t="s">
        <v>4</v>
      </c>
      <c r="K4" s="6" t="s">
        <v>10</v>
      </c>
      <c r="L4" s="6" t="s">
        <v>10</v>
      </c>
      <c r="M4" s="6" t="s">
        <v>9</v>
      </c>
      <c r="N4" s="6" t="s">
        <v>9</v>
      </c>
      <c r="O4" s="6" t="s">
        <v>5</v>
      </c>
      <c r="P4" s="6" t="s">
        <v>5</v>
      </c>
      <c r="Q4" s="6" t="s">
        <v>11</v>
      </c>
      <c r="R4" s="6" t="s">
        <v>11</v>
      </c>
      <c r="S4" s="6" t="s">
        <v>9</v>
      </c>
      <c r="T4" s="6" t="s">
        <v>9</v>
      </c>
      <c r="V4" s="83" t="s">
        <v>43</v>
      </c>
      <c r="W4" s="82" t="s">
        <v>1</v>
      </c>
      <c r="X4" s="63" t="s">
        <v>2</v>
      </c>
      <c r="Y4" s="63" t="s">
        <v>2</v>
      </c>
      <c r="Z4" s="82" t="s">
        <v>3</v>
      </c>
      <c r="AA4" s="82" t="s">
        <v>3</v>
      </c>
      <c r="AB4" s="82" t="s">
        <v>4</v>
      </c>
      <c r="AC4" s="82" t="s">
        <v>4</v>
      </c>
      <c r="AD4" s="82" t="s">
        <v>10</v>
      </c>
      <c r="AE4" s="82" t="s">
        <v>10</v>
      </c>
      <c r="AF4" s="82" t="s">
        <v>9</v>
      </c>
      <c r="AG4" s="82" t="s">
        <v>9</v>
      </c>
      <c r="AH4" s="82" t="s">
        <v>5</v>
      </c>
      <c r="AI4" s="82" t="s">
        <v>5</v>
      </c>
      <c r="AJ4" s="82" t="s">
        <v>11</v>
      </c>
      <c r="AK4" s="82" t="s">
        <v>11</v>
      </c>
      <c r="AL4" s="82" t="s">
        <v>9</v>
      </c>
      <c r="AM4" s="82" t="s">
        <v>9</v>
      </c>
    </row>
    <row r="5" spans="3:39" x14ac:dyDescent="0.25">
      <c r="C5" s="2" t="s">
        <v>130</v>
      </c>
      <c r="D5" s="10">
        <v>30</v>
      </c>
      <c r="E5" s="10">
        <v>4.2000000000000003E-2</v>
      </c>
      <c r="F5" s="10">
        <v>4.7E-2</v>
      </c>
      <c r="G5" s="10">
        <f t="shared" ref="G5:H7" si="0">(E5-0.0102)/0.0007</f>
        <v>45.428571428571431</v>
      </c>
      <c r="H5" s="10">
        <f t="shared" si="0"/>
        <v>52.571428571428569</v>
      </c>
      <c r="I5" s="10">
        <f t="shared" ref="I5:J7" si="1">((150-G5)/150)*100</f>
        <v>69.714285714285722</v>
      </c>
      <c r="J5" s="10">
        <f t="shared" si="1"/>
        <v>64.952380952380949</v>
      </c>
      <c r="K5" s="10">
        <f>AVERAGE(I5:I7)</f>
        <v>69.07936507936509</v>
      </c>
      <c r="L5" s="10">
        <f>AVERAGE(J5:J7)</f>
        <v>65.904761904761912</v>
      </c>
      <c r="M5" s="15">
        <f>_xlfn.STDEV.S(I5:I7)</f>
        <v>1.0997147984564262</v>
      </c>
      <c r="N5" s="12">
        <f>_xlfn.STDEV.S(J5:J7)</f>
        <v>0.9523809523809561</v>
      </c>
      <c r="O5" s="10">
        <f>((150-G5)/1)*0.05</f>
        <v>5.2285714285714286</v>
      </c>
      <c r="P5" s="10">
        <f>((150-H5)/1)*0.05</f>
        <v>4.8714285714285719</v>
      </c>
      <c r="Q5" s="10">
        <f>AVERAGE(O5:O7)</f>
        <v>5.1809523809523812</v>
      </c>
      <c r="R5" s="10">
        <f>AVERAGE(P5:P7)</f>
        <v>4.9428571428571431</v>
      </c>
      <c r="S5" s="15">
        <f>_xlfn.STDEV.S(O5:O7)</f>
        <v>8.247860988423196E-2</v>
      </c>
      <c r="T5" s="15">
        <f>_xlfn.STDEV.S(P5:P7)</f>
        <v>7.1428571428571619E-2</v>
      </c>
      <c r="V5" s="84" t="s">
        <v>130</v>
      </c>
      <c r="W5" s="85">
        <v>30</v>
      </c>
      <c r="X5" s="86">
        <v>8.8999999999999996E-2</v>
      </c>
      <c r="Y5" s="86">
        <v>0.106</v>
      </c>
      <c r="Z5" s="85">
        <f t="shared" ref="Z5:Z7" si="2">(X5-0.0102)/0.0007</f>
        <v>112.57142857142857</v>
      </c>
      <c r="AA5" s="85">
        <f t="shared" ref="AA5:AA7" si="3">(Y5-0.0102)/0.0007</f>
        <v>136.85714285714286</v>
      </c>
      <c r="AB5" s="85">
        <f t="shared" ref="AB5:AC7" si="4">((300-Z5)/300)*100</f>
        <v>62.476190476190482</v>
      </c>
      <c r="AC5" s="85">
        <f t="shared" si="4"/>
        <v>54.380952380952372</v>
      </c>
      <c r="AD5" s="85">
        <f>AVERAGE(AB5:AB7)</f>
        <v>64.063492063492063</v>
      </c>
      <c r="AE5" s="85">
        <f>AVERAGE(AC5:AC7)</f>
        <v>55.333333333333336</v>
      </c>
      <c r="AF5" s="9">
        <f>_xlfn.STDEV.S(AB5:AB7)</f>
        <v>1.4547859349066108</v>
      </c>
      <c r="AG5" s="79">
        <f>_xlfn.STDEV.S(AC5:AC7)</f>
        <v>1.259881576697425</v>
      </c>
      <c r="AH5" s="85">
        <f t="shared" ref="AH5:AI7" si="5">((300-Z5)/1)*0.05</f>
        <v>9.3714285714285719</v>
      </c>
      <c r="AI5" s="85">
        <f t="shared" si="5"/>
        <v>8.1571428571428566</v>
      </c>
      <c r="AJ5" s="85">
        <f>AVERAGE(AH5:AH7)</f>
        <v>9.6095238095238109</v>
      </c>
      <c r="AK5" s="85">
        <f>AVERAGE(AI5:AI7)</f>
        <v>8.2999999999999989</v>
      </c>
      <c r="AL5" s="9">
        <f>_xlfn.STDEV.S(AH5:AH7)</f>
        <v>0.21821789023599256</v>
      </c>
      <c r="AM5" s="9">
        <f>_xlfn.STDEV.S(AI5:AI7)</f>
        <v>0.1889822365046136</v>
      </c>
    </row>
    <row r="6" spans="3:39" ht="18" x14ac:dyDescent="0.35">
      <c r="C6" s="2" t="s">
        <v>19</v>
      </c>
      <c r="D6" s="10"/>
      <c r="E6" s="10">
        <v>4.3999999999999997E-2</v>
      </c>
      <c r="F6" s="10">
        <v>4.4999999999999998E-2</v>
      </c>
      <c r="G6" s="10">
        <f t="shared" si="0"/>
        <v>48.285714285714285</v>
      </c>
      <c r="H6" s="10">
        <f t="shared" si="0"/>
        <v>49.714285714285708</v>
      </c>
      <c r="I6" s="10">
        <f t="shared" si="1"/>
        <v>67.809523809523824</v>
      </c>
      <c r="J6" s="10">
        <f t="shared" si="1"/>
        <v>66.857142857142861</v>
      </c>
      <c r="K6" s="10"/>
      <c r="L6" s="10"/>
      <c r="M6" s="10"/>
      <c r="N6" s="9"/>
      <c r="O6" s="10">
        <f t="shared" ref="O6:P7" si="6">((150-G6)/1)*0.05</f>
        <v>5.0857142857142863</v>
      </c>
      <c r="P6" s="10">
        <f t="shared" si="6"/>
        <v>5.0142857142857151</v>
      </c>
      <c r="Q6" s="10"/>
      <c r="R6" s="10"/>
      <c r="S6" s="10"/>
      <c r="T6" s="9"/>
      <c r="V6" s="84" t="s">
        <v>19</v>
      </c>
      <c r="W6" s="85"/>
      <c r="X6" s="86">
        <v>8.5000000000000006E-2</v>
      </c>
      <c r="Y6" s="86">
        <v>0.105</v>
      </c>
      <c r="Z6" s="85">
        <f t="shared" si="2"/>
        <v>106.85714285714286</v>
      </c>
      <c r="AA6" s="85">
        <f t="shared" si="3"/>
        <v>135.42857142857142</v>
      </c>
      <c r="AB6" s="85">
        <f t="shared" si="4"/>
        <v>64.38095238095238</v>
      </c>
      <c r="AC6" s="85">
        <f t="shared" si="4"/>
        <v>54.857142857142861</v>
      </c>
      <c r="AD6" s="85"/>
      <c r="AE6" s="85"/>
      <c r="AF6" s="85"/>
      <c r="AG6" s="81"/>
      <c r="AH6" s="85">
        <f t="shared" si="5"/>
        <v>9.6571428571428584</v>
      </c>
      <c r="AI6" s="85">
        <f t="shared" si="5"/>
        <v>8.2285714285714295</v>
      </c>
      <c r="AJ6" s="85"/>
      <c r="AK6" s="85"/>
      <c r="AL6" s="85"/>
      <c r="AM6" s="81"/>
    </row>
    <row r="7" spans="3:39" x14ac:dyDescent="0.25">
      <c r="C7" s="2"/>
      <c r="D7" s="10"/>
      <c r="E7" s="10">
        <v>4.2000000000000003E-2</v>
      </c>
      <c r="F7" s="10">
        <v>4.5999999999999999E-2</v>
      </c>
      <c r="G7" s="10">
        <f t="shared" si="0"/>
        <v>45.428571428571431</v>
      </c>
      <c r="H7" s="10">
        <f t="shared" si="0"/>
        <v>51.142857142857139</v>
      </c>
      <c r="I7" s="10">
        <f t="shared" si="1"/>
        <v>69.714285714285722</v>
      </c>
      <c r="J7" s="10">
        <f t="shared" si="1"/>
        <v>65.904761904761912</v>
      </c>
      <c r="K7" s="10"/>
      <c r="L7" s="10"/>
      <c r="M7" s="10"/>
      <c r="N7" s="9"/>
      <c r="O7" s="10">
        <f t="shared" si="6"/>
        <v>5.2285714285714286</v>
      </c>
      <c r="P7" s="10">
        <f t="shared" si="6"/>
        <v>4.9428571428571431</v>
      </c>
      <c r="Q7" s="10"/>
      <c r="R7" s="10"/>
      <c r="S7" s="10"/>
      <c r="T7" s="9"/>
      <c r="V7" s="84"/>
      <c r="W7" s="85"/>
      <c r="X7" s="86">
        <v>8.3000000000000004E-2</v>
      </c>
      <c r="Y7" s="86">
        <v>0.10100000000000001</v>
      </c>
      <c r="Z7" s="85">
        <f t="shared" si="2"/>
        <v>104</v>
      </c>
      <c r="AA7" s="85">
        <f t="shared" si="3"/>
        <v>129.71428571428572</v>
      </c>
      <c r="AB7" s="85">
        <f t="shared" si="4"/>
        <v>65.333333333333329</v>
      </c>
      <c r="AC7" s="85">
        <f t="shared" si="4"/>
        <v>56.761904761904759</v>
      </c>
      <c r="AD7" s="85"/>
      <c r="AE7" s="85"/>
      <c r="AF7" s="85"/>
      <c r="AG7" s="81"/>
      <c r="AH7" s="85">
        <f t="shared" si="5"/>
        <v>9.8000000000000007</v>
      </c>
      <c r="AI7" s="85">
        <f t="shared" si="5"/>
        <v>8.5142857142857142</v>
      </c>
      <c r="AJ7" s="85"/>
      <c r="AK7" s="85"/>
      <c r="AL7" s="85"/>
      <c r="AM7" s="81"/>
    </row>
    <row r="8" spans="3:39" x14ac:dyDescent="0.25">
      <c r="C8" s="2"/>
      <c r="D8" s="10"/>
      <c r="E8" s="8"/>
      <c r="F8" s="8"/>
      <c r="G8" s="10"/>
      <c r="H8" s="9"/>
      <c r="I8" s="10"/>
      <c r="J8" s="9"/>
      <c r="K8" s="9"/>
      <c r="L8" s="9"/>
      <c r="M8" s="10"/>
      <c r="N8" s="9"/>
      <c r="O8" s="10"/>
      <c r="P8" s="9"/>
      <c r="Q8" s="9"/>
      <c r="R8" s="9"/>
      <c r="S8" s="10"/>
      <c r="T8" s="9"/>
      <c r="V8" s="84"/>
      <c r="W8" s="85"/>
      <c r="X8" s="86"/>
      <c r="Y8" s="86"/>
      <c r="Z8" s="85"/>
      <c r="AA8" s="81"/>
      <c r="AB8" s="85"/>
      <c r="AC8" s="81"/>
      <c r="AD8" s="81"/>
      <c r="AE8" s="81"/>
      <c r="AF8" s="85"/>
      <c r="AG8" s="81"/>
      <c r="AH8" s="85"/>
      <c r="AI8" s="81"/>
      <c r="AJ8" s="81"/>
      <c r="AK8" s="81"/>
      <c r="AL8" s="85"/>
      <c r="AM8" s="81"/>
    </row>
    <row r="9" spans="3:39" x14ac:dyDescent="0.25">
      <c r="C9" s="2"/>
      <c r="D9" s="10">
        <v>40</v>
      </c>
      <c r="E9" s="8">
        <v>3.5000000000000003E-2</v>
      </c>
      <c r="F9" s="8">
        <v>3.6999999999999998E-2</v>
      </c>
      <c r="G9" s="10">
        <f t="shared" ref="G9:H11" si="7">(E9-0.0102)/0.0007</f>
        <v>35.428571428571431</v>
      </c>
      <c r="H9" s="10">
        <f t="shared" si="7"/>
        <v>38.285714285714285</v>
      </c>
      <c r="I9" s="10">
        <f t="shared" ref="I9:J11" si="8">((150-G9)/150)*100</f>
        <v>76.38095238095238</v>
      </c>
      <c r="J9" s="10">
        <f t="shared" si="8"/>
        <v>74.476190476190482</v>
      </c>
      <c r="K9" s="10">
        <f>AVERAGE(I9:I11)</f>
        <v>77.968253968253975</v>
      </c>
      <c r="L9" s="10">
        <f>AVERAGE(J9:J11)</f>
        <v>73.523809523809518</v>
      </c>
      <c r="M9" s="15">
        <f>_xlfn.STDEV.S(I9:I11)</f>
        <v>1.4547859349066183</v>
      </c>
      <c r="N9" s="12">
        <f>_xlfn.STDEV.S(J9:J11)</f>
        <v>0.9523809523809561</v>
      </c>
      <c r="O9" s="10">
        <f>((150-G9)/1)*0.05</f>
        <v>5.7285714285714286</v>
      </c>
      <c r="P9" s="10">
        <f>((150-H9)/1)*0.05</f>
        <v>5.5857142857142863</v>
      </c>
      <c r="Q9" s="10">
        <f>AVERAGE(O9:O11)</f>
        <v>5.8476190476190482</v>
      </c>
      <c r="R9" s="10">
        <f>AVERAGE(P9:P11)</f>
        <v>5.5142857142857151</v>
      </c>
      <c r="S9" s="15">
        <f>_xlfn.STDEV.S(O9:O11)</f>
        <v>0.10910894511799628</v>
      </c>
      <c r="T9" s="15">
        <f>_xlfn.STDEV.S(P9:P11)</f>
        <v>7.1428571428571619E-2</v>
      </c>
      <c r="V9" s="84"/>
      <c r="W9" s="85">
        <v>40</v>
      </c>
      <c r="X9" s="86">
        <v>0.08</v>
      </c>
      <c r="Y9" s="86">
        <v>9.8000000000000004E-2</v>
      </c>
      <c r="Z9" s="85">
        <f t="shared" ref="Z9:Z11" si="9">(X9-0.0102)/0.0007</f>
        <v>99.714285714285722</v>
      </c>
      <c r="AA9" s="85">
        <f t="shared" ref="AA9:AA11" si="10">(Y9-0.0102)/0.0007</f>
        <v>125.42857142857143</v>
      </c>
      <c r="AB9" s="85">
        <f t="shared" ref="AB9:AC11" si="11">((300-Z9)/300)*100</f>
        <v>66.761904761904759</v>
      </c>
      <c r="AC9" s="85">
        <f t="shared" si="11"/>
        <v>58.190476190476183</v>
      </c>
      <c r="AD9" s="85">
        <f>AVERAGE(AB9:AB11)</f>
        <v>68.349206349206355</v>
      </c>
      <c r="AE9" s="85">
        <f>AVERAGE(AC9:AC11)</f>
        <v>59.460317460317462</v>
      </c>
      <c r="AF9" s="9">
        <f>_xlfn.STDEV.S(AB9:AB11)</f>
        <v>1.4547859349066183</v>
      </c>
      <c r="AG9" s="79">
        <f>_xlfn.STDEV.S(AC9:AC11)</f>
        <v>1.1983864182969506</v>
      </c>
      <c r="AH9" s="85">
        <f t="shared" ref="AH9:AI11" si="12">((300-Z9)/1)*0.05</f>
        <v>10.014285714285714</v>
      </c>
      <c r="AI9" s="85">
        <f t="shared" si="12"/>
        <v>8.7285714285714278</v>
      </c>
      <c r="AJ9" s="85">
        <f>AVERAGE(AH9:AH11)</f>
        <v>10.252380952380953</v>
      </c>
      <c r="AK9" s="85">
        <f>AVERAGE(AI9:AI11)</f>
        <v>8.9190476190476193</v>
      </c>
      <c r="AL9" s="9">
        <f>_xlfn.STDEV.S(AH9:AH11)</f>
        <v>0.21821789023599256</v>
      </c>
      <c r="AM9" s="9">
        <f>_xlfn.STDEV.S(AI9:AI11)</f>
        <v>0.17975796274454278</v>
      </c>
    </row>
    <row r="10" spans="3:39" x14ac:dyDescent="0.25">
      <c r="C10" s="2"/>
      <c r="D10" s="10"/>
      <c r="E10" s="8">
        <v>3.2000000000000001E-2</v>
      </c>
      <c r="F10" s="8">
        <v>3.7999999999999999E-2</v>
      </c>
      <c r="G10" s="10">
        <f t="shared" si="7"/>
        <v>31.142857142857142</v>
      </c>
      <c r="H10" s="10">
        <f t="shared" si="7"/>
        <v>39.714285714285715</v>
      </c>
      <c r="I10" s="10">
        <f t="shared" si="8"/>
        <v>79.238095238095241</v>
      </c>
      <c r="J10" s="10">
        <f t="shared" si="8"/>
        <v>73.523809523809518</v>
      </c>
      <c r="K10" s="10"/>
      <c r="L10" s="10"/>
      <c r="M10" s="10"/>
      <c r="N10" s="9"/>
      <c r="O10" s="10">
        <f t="shared" ref="O10:P11" si="13">((150-G10)/1)*0.05</f>
        <v>5.9428571428571431</v>
      </c>
      <c r="P10" s="10">
        <f t="shared" si="13"/>
        <v>5.5142857142857142</v>
      </c>
      <c r="Q10" s="10"/>
      <c r="R10" s="10"/>
      <c r="S10" s="10"/>
      <c r="T10" s="9"/>
      <c r="V10" s="84"/>
      <c r="W10" s="85"/>
      <c r="X10" s="86">
        <v>7.5999999999999998E-2</v>
      </c>
      <c r="Y10" s="86">
        <v>9.2999999999999999E-2</v>
      </c>
      <c r="Z10" s="85">
        <f t="shared" si="9"/>
        <v>94</v>
      </c>
      <c r="AA10" s="85">
        <f t="shared" si="10"/>
        <v>118.28571428571429</v>
      </c>
      <c r="AB10" s="85">
        <f t="shared" si="11"/>
        <v>68.666666666666671</v>
      </c>
      <c r="AC10" s="85">
        <f t="shared" si="11"/>
        <v>60.571428571428577</v>
      </c>
      <c r="AD10" s="85"/>
      <c r="AE10" s="85"/>
      <c r="AF10" s="85"/>
      <c r="AG10" s="81"/>
      <c r="AH10" s="85">
        <f t="shared" si="12"/>
        <v>10.3</v>
      </c>
      <c r="AI10" s="85">
        <f t="shared" si="12"/>
        <v>9.0857142857142872</v>
      </c>
      <c r="AJ10" s="85"/>
      <c r="AK10" s="85"/>
      <c r="AL10" s="85"/>
      <c r="AM10" s="81"/>
    </row>
    <row r="11" spans="3:39" x14ac:dyDescent="0.25">
      <c r="C11" s="2"/>
      <c r="D11" s="10"/>
      <c r="E11" s="8">
        <v>3.3000000000000002E-2</v>
      </c>
      <c r="F11" s="8">
        <v>3.9E-2</v>
      </c>
      <c r="G11" s="10">
        <f t="shared" si="7"/>
        <v>32.571428571428569</v>
      </c>
      <c r="H11" s="10">
        <f t="shared" si="7"/>
        <v>41.142857142857139</v>
      </c>
      <c r="I11" s="10">
        <f t="shared" si="8"/>
        <v>78.285714285714292</v>
      </c>
      <c r="J11" s="10">
        <f t="shared" si="8"/>
        <v>72.571428571428569</v>
      </c>
      <c r="K11" s="10"/>
      <c r="L11" s="10"/>
      <c r="M11" s="10"/>
      <c r="N11" s="9"/>
      <c r="O11" s="10">
        <f t="shared" si="13"/>
        <v>5.8714285714285719</v>
      </c>
      <c r="P11" s="10">
        <f t="shared" si="13"/>
        <v>5.4428571428571431</v>
      </c>
      <c r="Q11" s="10"/>
      <c r="R11" s="10"/>
      <c r="S11" s="10"/>
      <c r="T11" s="9"/>
      <c r="V11" s="84"/>
      <c r="W11" s="85"/>
      <c r="X11" s="86">
        <v>7.3999999999999996E-2</v>
      </c>
      <c r="Y11" s="86">
        <v>9.5000000000000001E-2</v>
      </c>
      <c r="Z11" s="85">
        <f t="shared" si="9"/>
        <v>91.142857142857139</v>
      </c>
      <c r="AA11" s="85">
        <f t="shared" si="10"/>
        <v>121.14285714285714</v>
      </c>
      <c r="AB11" s="85">
        <f t="shared" si="11"/>
        <v>69.61904761904762</v>
      </c>
      <c r="AC11" s="85">
        <f t="shared" si="11"/>
        <v>59.619047619047613</v>
      </c>
      <c r="AD11" s="85"/>
      <c r="AE11" s="85"/>
      <c r="AF11" s="85"/>
      <c r="AG11" s="81"/>
      <c r="AH11" s="85">
        <f t="shared" si="12"/>
        <v>10.442857142857143</v>
      </c>
      <c r="AI11" s="85">
        <f t="shared" si="12"/>
        <v>8.9428571428571431</v>
      </c>
      <c r="AJ11" s="85"/>
      <c r="AK11" s="85"/>
      <c r="AL11" s="85"/>
      <c r="AM11" s="81"/>
    </row>
    <row r="12" spans="3:39" x14ac:dyDescent="0.25">
      <c r="C12" s="2"/>
      <c r="D12" s="10"/>
      <c r="E12" s="8"/>
      <c r="F12" s="8"/>
      <c r="G12" s="10"/>
      <c r="H12" s="9"/>
      <c r="I12" s="10"/>
      <c r="J12" s="9"/>
      <c r="K12" s="9"/>
      <c r="L12" s="9"/>
      <c r="M12" s="10"/>
      <c r="N12" s="9"/>
      <c r="O12" s="10"/>
      <c r="P12" s="9"/>
      <c r="Q12" s="9"/>
      <c r="R12" s="9"/>
      <c r="S12" s="10"/>
      <c r="T12" s="9"/>
      <c r="V12" s="84"/>
      <c r="W12" s="85"/>
      <c r="X12" s="86"/>
      <c r="Y12" s="86"/>
      <c r="Z12" s="85"/>
      <c r="AA12" s="81"/>
      <c r="AB12" s="85"/>
      <c r="AC12" s="81"/>
      <c r="AD12" s="81"/>
      <c r="AE12" s="81"/>
      <c r="AF12" s="85"/>
      <c r="AG12" s="81"/>
      <c r="AH12" s="85"/>
      <c r="AI12" s="81"/>
      <c r="AJ12" s="81"/>
      <c r="AK12" s="81"/>
      <c r="AL12" s="85"/>
      <c r="AM12" s="81"/>
    </row>
    <row r="13" spans="3:39" x14ac:dyDescent="0.25">
      <c r="C13" s="2"/>
      <c r="D13" s="10">
        <v>50</v>
      </c>
      <c r="E13" s="8">
        <v>2.5999999999999999E-2</v>
      </c>
      <c r="F13" s="8">
        <v>3.5000000000000003E-2</v>
      </c>
      <c r="G13" s="10">
        <f t="shared" ref="G13:H15" si="14">(E13-0.0102)/0.0007</f>
        <v>22.571428571428569</v>
      </c>
      <c r="H13" s="10">
        <f t="shared" si="14"/>
        <v>35.428571428571431</v>
      </c>
      <c r="I13" s="10">
        <f t="shared" ref="I13:J15" si="15">((150-G13)/150)*100</f>
        <v>84.952380952380963</v>
      </c>
      <c r="J13" s="10">
        <f t="shared" si="15"/>
        <v>76.38095238095238</v>
      </c>
      <c r="K13" s="10">
        <f>AVERAGE(I13:I15)</f>
        <v>83.682539682539684</v>
      </c>
      <c r="L13" s="10">
        <f>AVERAGE(J13:J15)</f>
        <v>77.968253968253975</v>
      </c>
      <c r="M13" s="15">
        <f>_xlfn.STDEV.S(I13:I15)</f>
        <v>1.4547859349066248</v>
      </c>
      <c r="N13" s="12">
        <f>_xlfn.STDEV.S(J13:J15)</f>
        <v>1.4547859349066183</v>
      </c>
      <c r="O13" s="10">
        <f>((150-G13)/1)*0.05</f>
        <v>6.3714285714285719</v>
      </c>
      <c r="P13" s="10">
        <f>((150-H13)/1)*0.05</f>
        <v>5.7285714285714286</v>
      </c>
      <c r="Q13" s="10">
        <f>AVERAGE(O13:O15)</f>
        <v>6.2761904761904761</v>
      </c>
      <c r="R13" s="10">
        <f>AVERAGE(P13:P15)</f>
        <v>5.8476190476190482</v>
      </c>
      <c r="S13" s="15">
        <f>_xlfn.STDEV.S(O13:O15)</f>
        <v>0.10910894511799628</v>
      </c>
      <c r="T13" s="15">
        <f>_xlfn.STDEV.S(P13:P15)</f>
        <v>0.10910894511799628</v>
      </c>
      <c r="V13" s="84"/>
      <c r="W13" s="85">
        <v>50</v>
      </c>
      <c r="X13" s="86">
        <v>6.5000000000000002E-2</v>
      </c>
      <c r="Y13" s="86">
        <v>8.5999999999999993E-2</v>
      </c>
      <c r="Z13" s="85">
        <f t="shared" ref="Z13:Z15" si="16">(X13-0.0102)/0.0007</f>
        <v>78.285714285714292</v>
      </c>
      <c r="AA13" s="85">
        <f t="shared" ref="AA13:AA15" si="17">(Y13-0.0102)/0.0007</f>
        <v>108.28571428571428</v>
      </c>
      <c r="AB13" s="85">
        <f t="shared" ref="AB13:AC15" si="18">((300-Z13)/300)*100</f>
        <v>73.904761904761912</v>
      </c>
      <c r="AC13" s="85">
        <f t="shared" si="18"/>
        <v>63.904761904761912</v>
      </c>
      <c r="AD13" s="85">
        <f>AVERAGE(AB13:AB15)</f>
        <v>73.746031746031747</v>
      </c>
      <c r="AE13" s="85">
        <f>AVERAGE(AC13:AC15)</f>
        <v>63.587301587301589</v>
      </c>
      <c r="AF13" s="9">
        <f>_xlfn.STDEV.S(AB13:AB15)</f>
        <v>1.1983864182969515</v>
      </c>
      <c r="AG13" s="79">
        <f>_xlfn.STDEV.S(AC13:AC15)</f>
        <v>0.99126952355529896</v>
      </c>
      <c r="AH13" s="85">
        <f t="shared" ref="AH13:AI15" si="19">((300-Z13)/1)*0.05</f>
        <v>11.085714285714287</v>
      </c>
      <c r="AI13" s="85">
        <f t="shared" si="19"/>
        <v>9.5857142857142872</v>
      </c>
      <c r="AJ13" s="85">
        <f>AVERAGE(AH13:AH15)</f>
        <v>11.061904761904763</v>
      </c>
      <c r="AK13" s="85">
        <f>AVERAGE(AI13:AI15)</f>
        <v>9.5380952380952397</v>
      </c>
      <c r="AL13" s="9">
        <f>_xlfn.STDEV.S(AH13:AH15)</f>
        <v>0.17975796274454114</v>
      </c>
      <c r="AM13" s="9">
        <f>_xlfn.STDEV.S(AI13:AI15)</f>
        <v>0.14869042853329567</v>
      </c>
    </row>
    <row r="14" spans="3:39" x14ac:dyDescent="0.25">
      <c r="C14" s="2"/>
      <c r="D14" s="10"/>
      <c r="E14" s="8">
        <v>2.7E-2</v>
      </c>
      <c r="F14" s="8">
        <v>3.2000000000000001E-2</v>
      </c>
      <c r="G14" s="10">
        <f t="shared" si="14"/>
        <v>24</v>
      </c>
      <c r="H14" s="10">
        <f t="shared" si="14"/>
        <v>31.142857142857142</v>
      </c>
      <c r="I14" s="10">
        <f t="shared" si="15"/>
        <v>84</v>
      </c>
      <c r="J14" s="10">
        <f t="shared" si="15"/>
        <v>79.238095238095241</v>
      </c>
      <c r="K14" s="10"/>
      <c r="L14" s="10"/>
      <c r="M14" s="10"/>
      <c r="N14" s="9"/>
      <c r="O14" s="10">
        <f t="shared" ref="O14:P15" si="20">((150-G14)/1)*0.05</f>
        <v>6.3000000000000007</v>
      </c>
      <c r="P14" s="10">
        <f t="shared" si="20"/>
        <v>5.9428571428571431</v>
      </c>
      <c r="Q14" s="10"/>
      <c r="R14" s="10"/>
      <c r="S14" s="10"/>
      <c r="T14" s="9"/>
      <c r="V14" s="84"/>
      <c r="W14" s="85"/>
      <c r="X14" s="86">
        <v>6.3E-2</v>
      </c>
      <c r="Y14" s="86">
        <v>8.5000000000000006E-2</v>
      </c>
      <c r="Z14" s="85">
        <f t="shared" si="16"/>
        <v>75.428571428571431</v>
      </c>
      <c r="AA14" s="85">
        <f t="shared" si="17"/>
        <v>106.85714285714286</v>
      </c>
      <c r="AB14" s="85">
        <f t="shared" si="18"/>
        <v>74.857142857142861</v>
      </c>
      <c r="AC14" s="85">
        <f t="shared" si="18"/>
        <v>64.38095238095238</v>
      </c>
      <c r="AD14" s="85"/>
      <c r="AE14" s="85"/>
      <c r="AF14" s="85"/>
      <c r="AG14" s="81"/>
      <c r="AH14" s="85">
        <f t="shared" si="19"/>
        <v>11.228571428571428</v>
      </c>
      <c r="AI14" s="85">
        <f t="shared" si="19"/>
        <v>9.6571428571428584</v>
      </c>
      <c r="AJ14" s="85"/>
      <c r="AK14" s="85"/>
      <c r="AL14" s="85"/>
      <c r="AM14" s="81"/>
    </row>
    <row r="15" spans="3:39" x14ac:dyDescent="0.25">
      <c r="C15" s="5"/>
      <c r="D15" s="10"/>
      <c r="E15" s="8">
        <v>2.9000000000000001E-2</v>
      </c>
      <c r="F15" s="8">
        <v>3.3000000000000002E-2</v>
      </c>
      <c r="G15" s="10">
        <f t="shared" si="14"/>
        <v>26.857142857142858</v>
      </c>
      <c r="H15" s="10">
        <f t="shared" si="14"/>
        <v>32.571428571428569</v>
      </c>
      <c r="I15" s="10">
        <f t="shared" si="15"/>
        <v>82.095238095238088</v>
      </c>
      <c r="J15" s="10">
        <f t="shared" si="15"/>
        <v>78.285714285714292</v>
      </c>
      <c r="K15" s="10"/>
      <c r="L15" s="10"/>
      <c r="M15" s="10"/>
      <c r="N15" s="9"/>
      <c r="O15" s="10">
        <f t="shared" si="20"/>
        <v>6.1571428571428575</v>
      </c>
      <c r="P15" s="10">
        <f t="shared" si="20"/>
        <v>5.8714285714285719</v>
      </c>
      <c r="Q15" s="10"/>
      <c r="R15" s="10"/>
      <c r="S15" s="10"/>
      <c r="T15" s="9"/>
      <c r="V15" s="87"/>
      <c r="W15" s="85"/>
      <c r="X15" s="86">
        <v>6.8000000000000005E-2</v>
      </c>
      <c r="Y15" s="86">
        <v>8.8999999999999996E-2</v>
      </c>
      <c r="Z15" s="85">
        <f t="shared" si="16"/>
        <v>82.571428571428584</v>
      </c>
      <c r="AA15" s="85">
        <f t="shared" si="17"/>
        <v>112.57142857142857</v>
      </c>
      <c r="AB15" s="85">
        <f t="shared" si="18"/>
        <v>72.476190476190467</v>
      </c>
      <c r="AC15" s="85">
        <f t="shared" si="18"/>
        <v>62.476190476190482</v>
      </c>
      <c r="AD15" s="85"/>
      <c r="AE15" s="85"/>
      <c r="AF15" s="85"/>
      <c r="AG15" s="81"/>
      <c r="AH15" s="85">
        <f t="shared" si="19"/>
        <v>10.871428571428572</v>
      </c>
      <c r="AI15" s="85">
        <f t="shared" si="19"/>
        <v>9.3714285714285719</v>
      </c>
      <c r="AJ15" s="85"/>
      <c r="AK15" s="85"/>
      <c r="AL15" s="85"/>
      <c r="AM15" s="81"/>
    </row>
    <row r="18" spans="3:39" x14ac:dyDescent="0.25">
      <c r="C18" s="71"/>
      <c r="D18" s="72"/>
      <c r="E18" s="54" t="s">
        <v>8</v>
      </c>
      <c r="F18" s="54" t="s">
        <v>7</v>
      </c>
      <c r="G18" s="54" t="s">
        <v>8</v>
      </c>
      <c r="H18" s="54" t="s">
        <v>7</v>
      </c>
      <c r="I18" s="54" t="s">
        <v>8</v>
      </c>
      <c r="J18" s="54" t="s">
        <v>7</v>
      </c>
      <c r="K18" s="54" t="s">
        <v>8</v>
      </c>
      <c r="L18" s="54" t="s">
        <v>7</v>
      </c>
      <c r="M18" s="54" t="s">
        <v>8</v>
      </c>
      <c r="N18" s="54" t="s">
        <v>7</v>
      </c>
      <c r="O18" s="54" t="s">
        <v>8</v>
      </c>
      <c r="P18" s="54" t="s">
        <v>7</v>
      </c>
      <c r="Q18" s="54" t="s">
        <v>8</v>
      </c>
      <c r="R18" s="54" t="s">
        <v>7</v>
      </c>
      <c r="S18" s="54" t="s">
        <v>8</v>
      </c>
      <c r="T18" s="54" t="s">
        <v>7</v>
      </c>
      <c r="V18" s="88"/>
      <c r="W18" s="78"/>
      <c r="X18" s="53" t="s">
        <v>8</v>
      </c>
      <c r="Y18" s="53" t="s">
        <v>7</v>
      </c>
      <c r="Z18" s="53" t="s">
        <v>8</v>
      </c>
      <c r="AA18" s="53" t="s">
        <v>7</v>
      </c>
      <c r="AB18" s="53" t="s">
        <v>8</v>
      </c>
      <c r="AC18" s="53" t="s">
        <v>7</v>
      </c>
      <c r="AD18" s="53" t="s">
        <v>8</v>
      </c>
      <c r="AE18" s="53" t="s">
        <v>7</v>
      </c>
      <c r="AF18" s="53" t="s">
        <v>8</v>
      </c>
      <c r="AG18" s="53" t="s">
        <v>7</v>
      </c>
      <c r="AH18" s="53" t="s">
        <v>8</v>
      </c>
      <c r="AI18" s="53" t="s">
        <v>7</v>
      </c>
      <c r="AJ18" s="53" t="s">
        <v>8</v>
      </c>
      <c r="AK18" s="53" t="s">
        <v>7</v>
      </c>
      <c r="AL18" s="53" t="s">
        <v>8</v>
      </c>
      <c r="AM18" s="53" t="s">
        <v>7</v>
      </c>
    </row>
    <row r="19" spans="3:39" ht="18" x14ac:dyDescent="0.35">
      <c r="C19" s="73" t="s">
        <v>44</v>
      </c>
      <c r="D19" s="54" t="s">
        <v>1</v>
      </c>
      <c r="E19" s="74" t="s">
        <v>2</v>
      </c>
      <c r="F19" s="74" t="s">
        <v>2</v>
      </c>
      <c r="G19" s="54" t="s">
        <v>3</v>
      </c>
      <c r="H19" s="54" t="s">
        <v>3</v>
      </c>
      <c r="I19" s="54" t="s">
        <v>4</v>
      </c>
      <c r="J19" s="54" t="s">
        <v>4</v>
      </c>
      <c r="K19" s="54" t="s">
        <v>10</v>
      </c>
      <c r="L19" s="54" t="s">
        <v>10</v>
      </c>
      <c r="M19" s="54" t="s">
        <v>9</v>
      </c>
      <c r="N19" s="54" t="s">
        <v>9</v>
      </c>
      <c r="O19" s="54" t="s">
        <v>5</v>
      </c>
      <c r="P19" s="54" t="s">
        <v>5</v>
      </c>
      <c r="Q19" s="54" t="s">
        <v>11</v>
      </c>
      <c r="R19" s="54" t="s">
        <v>11</v>
      </c>
      <c r="S19" s="54" t="s">
        <v>9</v>
      </c>
      <c r="T19" s="54" t="s">
        <v>9</v>
      </c>
      <c r="V19" s="89" t="s">
        <v>45</v>
      </c>
      <c r="W19" s="53" t="s">
        <v>1</v>
      </c>
      <c r="X19" s="90" t="s">
        <v>2</v>
      </c>
      <c r="Y19" s="90" t="s">
        <v>2</v>
      </c>
      <c r="Z19" s="53" t="s">
        <v>3</v>
      </c>
      <c r="AA19" s="53" t="s">
        <v>3</v>
      </c>
      <c r="AB19" s="53" t="s">
        <v>4</v>
      </c>
      <c r="AC19" s="53" t="s">
        <v>4</v>
      </c>
      <c r="AD19" s="53" t="s">
        <v>10</v>
      </c>
      <c r="AE19" s="53" t="s">
        <v>10</v>
      </c>
      <c r="AF19" s="53" t="s">
        <v>9</v>
      </c>
      <c r="AG19" s="53" t="s">
        <v>9</v>
      </c>
      <c r="AH19" s="53" t="s">
        <v>5</v>
      </c>
      <c r="AI19" s="53" t="s">
        <v>5</v>
      </c>
      <c r="AJ19" s="53" t="s">
        <v>11</v>
      </c>
      <c r="AK19" s="53" t="s">
        <v>11</v>
      </c>
      <c r="AL19" s="53" t="s">
        <v>9</v>
      </c>
      <c r="AM19" s="53" t="s">
        <v>9</v>
      </c>
    </row>
    <row r="20" spans="3:39" x14ac:dyDescent="0.25">
      <c r="C20" s="75" t="s">
        <v>130</v>
      </c>
      <c r="D20" s="55">
        <v>30</v>
      </c>
      <c r="E20" s="76">
        <v>0.12</v>
      </c>
      <c r="F20" s="76">
        <v>0.14499999999999999</v>
      </c>
      <c r="G20" s="55">
        <f t="shared" ref="G20:G22" si="21">(E20-0.0102)/0.0007</f>
        <v>156.85714285714286</v>
      </c>
      <c r="H20" s="55">
        <f t="shared" ref="H20:H22" si="22">(F20-0.0102)/0.0007</f>
        <v>192.57142857142853</v>
      </c>
      <c r="I20" s="55">
        <f t="shared" ref="I20:J22" si="23">((400-G20)/400)*100</f>
        <v>60.785714285714285</v>
      </c>
      <c r="J20" s="55">
        <f t="shared" si="23"/>
        <v>51.857142857142868</v>
      </c>
      <c r="K20" s="55">
        <f>AVERAGE(I20:I22)</f>
        <v>60.190476190476183</v>
      </c>
      <c r="L20" s="55">
        <f>AVERAGE(J20:J22)</f>
        <v>52.095238095238095</v>
      </c>
      <c r="M20" s="15">
        <f>_xlfn.STDEV.S(I20:I22)</f>
        <v>0.5455447255899778</v>
      </c>
      <c r="N20" s="12">
        <f>_xlfn.STDEV.S(J20:J22)</f>
        <v>1.4433756729740586</v>
      </c>
      <c r="O20" s="55">
        <f t="shared" ref="O20:P22" si="24">((400-G20)/1)*0.05</f>
        <v>12.157142857142858</v>
      </c>
      <c r="P20" s="55">
        <f t="shared" si="24"/>
        <v>10.371428571428574</v>
      </c>
      <c r="Q20" s="55">
        <f>AVERAGE(O20:O22)</f>
        <v>12.038095238095238</v>
      </c>
      <c r="R20" s="55">
        <f>AVERAGE(P20:P22)</f>
        <v>10.419047619047619</v>
      </c>
      <c r="S20" s="15">
        <f>_xlfn.STDEV.S(O20:O22)</f>
        <v>0.10910894511799678</v>
      </c>
      <c r="T20" s="15">
        <f>_xlfn.STDEV.S(P20:P22)</f>
        <v>0.2886751345948117</v>
      </c>
      <c r="V20" s="91" t="s">
        <v>130</v>
      </c>
      <c r="W20" s="92">
        <v>30</v>
      </c>
      <c r="X20" s="93">
        <v>0.19</v>
      </c>
      <c r="Y20" s="93">
        <v>0.221</v>
      </c>
      <c r="Z20" s="92">
        <f t="shared" ref="Z20:Z22" si="25">(X20-0.0102)/0.0007</f>
        <v>256.85714285714289</v>
      </c>
      <c r="AA20" s="92">
        <f t="shared" ref="AA20:AA22" si="26">(Y20-0.0102)/0.0007</f>
        <v>301.14285714285711</v>
      </c>
      <c r="AB20" s="92">
        <f t="shared" ref="AB20:AC22" si="27">((500-Z20)/500)*100</f>
        <v>48.628571428571419</v>
      </c>
      <c r="AC20" s="92">
        <f t="shared" si="27"/>
        <v>39.771428571428579</v>
      </c>
      <c r="AD20" s="92">
        <f>AVERAGE(AB20:AB22)</f>
        <v>48.533333333333331</v>
      </c>
      <c r="AE20" s="92">
        <f>AVERAGE(AC20:AC22)</f>
        <v>40.723809523809528</v>
      </c>
      <c r="AF20" s="9">
        <f>_xlfn.STDEV.S(AB20:AB22)</f>
        <v>0.43643578047198245</v>
      </c>
      <c r="AG20" s="79">
        <f>_xlfn.STDEV.S(AC20:AC22)</f>
        <v>0.87287156094396645</v>
      </c>
      <c r="AH20" s="92">
        <f t="shared" ref="AH20:AI22" si="28">((500-Z20)/1)*0.05</f>
        <v>12.157142857142857</v>
      </c>
      <c r="AI20" s="92">
        <f t="shared" si="28"/>
        <v>9.9428571428571448</v>
      </c>
      <c r="AJ20" s="92">
        <f>AVERAGE(AH20:AH22)</f>
        <v>12.133333333333333</v>
      </c>
      <c r="AK20" s="92">
        <f>AVERAGE(AI20:AI22)</f>
        <v>10.180952380952384</v>
      </c>
      <c r="AL20" s="9">
        <f>_xlfn.STDEV.S(AH20:AH22)</f>
        <v>0.10910894511799581</v>
      </c>
      <c r="AM20" s="9">
        <f>_xlfn.STDEV.S(AI20:AI22)</f>
        <v>0.21821789023599256</v>
      </c>
    </row>
    <row r="21" spans="3:39" ht="18" x14ac:dyDescent="0.35">
      <c r="C21" s="75" t="s">
        <v>19</v>
      </c>
      <c r="D21" s="55"/>
      <c r="E21" s="76">
        <v>0.122</v>
      </c>
      <c r="F21" s="76">
        <v>0.14000000000000001</v>
      </c>
      <c r="G21" s="55">
        <f t="shared" si="21"/>
        <v>159.71428571428572</v>
      </c>
      <c r="H21" s="55">
        <f t="shared" si="22"/>
        <v>185.42857142857147</v>
      </c>
      <c r="I21" s="55">
        <f t="shared" si="23"/>
        <v>60.071428571428562</v>
      </c>
      <c r="J21" s="55">
        <f t="shared" si="23"/>
        <v>53.642857142857139</v>
      </c>
      <c r="K21" s="55"/>
      <c r="L21" s="55"/>
      <c r="M21" s="55"/>
      <c r="N21" s="72"/>
      <c r="O21" s="55">
        <f t="shared" si="24"/>
        <v>12.014285714285714</v>
      </c>
      <c r="P21" s="55">
        <f t="shared" si="24"/>
        <v>10.728571428571428</v>
      </c>
      <c r="Q21" s="55"/>
      <c r="R21" s="55"/>
      <c r="S21" s="55"/>
      <c r="T21" s="72"/>
      <c r="V21" s="91" t="s">
        <v>19</v>
      </c>
      <c r="W21" s="92"/>
      <c r="X21" s="93">
        <v>0.192</v>
      </c>
      <c r="Y21" s="93">
        <v>0.217</v>
      </c>
      <c r="Z21" s="92">
        <f t="shared" si="25"/>
        <v>259.71428571428572</v>
      </c>
      <c r="AA21" s="92">
        <f t="shared" si="26"/>
        <v>295.42857142857139</v>
      </c>
      <c r="AB21" s="92">
        <f t="shared" si="27"/>
        <v>48.057142857142857</v>
      </c>
      <c r="AC21" s="92">
        <f t="shared" si="27"/>
        <v>40.914285714285718</v>
      </c>
      <c r="AD21" s="92"/>
      <c r="AE21" s="92"/>
      <c r="AF21" s="92"/>
      <c r="AG21" s="78"/>
      <c r="AH21" s="92">
        <f t="shared" si="28"/>
        <v>12.014285714285714</v>
      </c>
      <c r="AI21" s="92">
        <f t="shared" si="28"/>
        <v>10.228571428571431</v>
      </c>
      <c r="AJ21" s="92"/>
      <c r="AK21" s="92"/>
      <c r="AL21" s="92"/>
      <c r="AM21" s="78"/>
    </row>
    <row r="22" spans="3:39" x14ac:dyDescent="0.25">
      <c r="C22" s="75"/>
      <c r="D22" s="55"/>
      <c r="E22" s="76">
        <v>0.123</v>
      </c>
      <c r="F22" s="76">
        <v>0.14799999999999999</v>
      </c>
      <c r="G22" s="55">
        <f t="shared" si="21"/>
        <v>161.14285714285714</v>
      </c>
      <c r="H22" s="55">
        <f t="shared" si="22"/>
        <v>196.85714285714283</v>
      </c>
      <c r="I22" s="55">
        <f t="shared" si="23"/>
        <v>59.714285714285722</v>
      </c>
      <c r="J22" s="55">
        <f t="shared" si="23"/>
        <v>50.785714285714292</v>
      </c>
      <c r="K22" s="55"/>
      <c r="L22" s="55"/>
      <c r="M22" s="55"/>
      <c r="N22" s="72"/>
      <c r="O22" s="55">
        <f t="shared" si="24"/>
        <v>11.942857142857143</v>
      </c>
      <c r="P22" s="55">
        <f t="shared" si="24"/>
        <v>10.157142857142858</v>
      </c>
      <c r="Q22" s="55"/>
      <c r="R22" s="55"/>
      <c r="S22" s="55"/>
      <c r="T22" s="72"/>
      <c r="V22" s="91"/>
      <c r="W22" s="92"/>
      <c r="X22" s="93">
        <v>0.189</v>
      </c>
      <c r="Y22" s="93">
        <v>0.215</v>
      </c>
      <c r="Z22" s="92">
        <f t="shared" si="25"/>
        <v>255.42857142857144</v>
      </c>
      <c r="AA22" s="92">
        <f t="shared" si="26"/>
        <v>292.57142857142856</v>
      </c>
      <c r="AB22" s="92">
        <f t="shared" si="27"/>
        <v>48.914285714285711</v>
      </c>
      <c r="AC22" s="92">
        <f t="shared" si="27"/>
        <v>41.485714285714288</v>
      </c>
      <c r="AD22" s="92"/>
      <c r="AE22" s="92"/>
      <c r="AF22" s="92"/>
      <c r="AG22" s="78"/>
      <c r="AH22" s="92">
        <f t="shared" si="28"/>
        <v>12.228571428571428</v>
      </c>
      <c r="AI22" s="92">
        <f t="shared" si="28"/>
        <v>10.371428571428574</v>
      </c>
      <c r="AJ22" s="92"/>
      <c r="AK22" s="92"/>
      <c r="AL22" s="92"/>
      <c r="AM22" s="78"/>
    </row>
    <row r="23" spans="3:39" x14ac:dyDescent="0.25">
      <c r="C23" s="75"/>
      <c r="D23" s="55"/>
      <c r="E23" s="76"/>
      <c r="F23" s="76"/>
      <c r="G23" s="55"/>
      <c r="H23" s="72"/>
      <c r="I23" s="55"/>
      <c r="J23" s="72"/>
      <c r="K23" s="72"/>
      <c r="L23" s="72"/>
      <c r="M23" s="55"/>
      <c r="N23" s="72"/>
      <c r="O23" s="55"/>
      <c r="P23" s="72"/>
      <c r="Q23" s="72"/>
      <c r="R23" s="72"/>
      <c r="S23" s="55"/>
      <c r="T23" s="72"/>
      <c r="V23" s="91"/>
      <c r="W23" s="92"/>
      <c r="X23" s="93"/>
      <c r="Y23" s="93"/>
      <c r="Z23" s="92"/>
      <c r="AA23" s="78"/>
      <c r="AB23" s="92"/>
      <c r="AC23" s="78"/>
      <c r="AD23" s="78"/>
      <c r="AE23" s="78"/>
      <c r="AF23" s="92"/>
      <c r="AG23" s="78"/>
      <c r="AH23" s="92"/>
      <c r="AI23" s="78"/>
      <c r="AJ23" s="78"/>
      <c r="AK23" s="78"/>
      <c r="AL23" s="92"/>
      <c r="AM23" s="78"/>
    </row>
    <row r="24" spans="3:39" x14ac:dyDescent="0.25">
      <c r="C24" s="75"/>
      <c r="D24" s="55">
        <v>40</v>
      </c>
      <c r="E24" s="76">
        <v>0.115</v>
      </c>
      <c r="F24" s="76">
        <v>0.13900000000000001</v>
      </c>
      <c r="G24" s="55">
        <f t="shared" ref="G24:G26" si="29">(E24-0.0102)/0.0007</f>
        <v>149.71428571428572</v>
      </c>
      <c r="H24" s="55">
        <f t="shared" ref="H24:H26" si="30">(F24-0.0102)/0.0007</f>
        <v>184.00000000000003</v>
      </c>
      <c r="I24" s="55">
        <f t="shared" ref="I24:J26" si="31">((400-G24)/400)*100</f>
        <v>62.571428571428569</v>
      </c>
      <c r="J24" s="55">
        <f t="shared" si="31"/>
        <v>53.999999999999993</v>
      </c>
      <c r="K24" s="55">
        <f>AVERAGE(I24:I26)</f>
        <v>62.928571428571423</v>
      </c>
      <c r="L24" s="55">
        <f>AVERAGE(J24:J26)</f>
        <v>54.595238095238081</v>
      </c>
      <c r="M24" s="15">
        <f>_xlfn.STDEV.S(I24:I26)</f>
        <v>0.94491118252307071</v>
      </c>
      <c r="N24" s="12">
        <f>_xlfn.STDEV.S(J24:J26)</f>
        <v>0.54554472558997946</v>
      </c>
      <c r="O24" s="55">
        <f t="shared" ref="O24:P26" si="32">((400-G24)/1)*0.05</f>
        <v>12.514285714285714</v>
      </c>
      <c r="P24" s="55">
        <f t="shared" si="32"/>
        <v>10.799999999999999</v>
      </c>
      <c r="Q24" s="55">
        <f>AVERAGE(O24:O26)</f>
        <v>12.585714285714287</v>
      </c>
      <c r="R24" s="55">
        <f>AVERAGE(P24:P26)</f>
        <v>10.919047619047618</v>
      </c>
      <c r="S24" s="15">
        <f>_xlfn.STDEV.S(O24:O26)</f>
        <v>0.18898223650461393</v>
      </c>
      <c r="T24" s="15">
        <f>_xlfn.STDEV.S(P24:P26)</f>
        <v>0.109108945117996</v>
      </c>
      <c r="V24" s="91"/>
      <c r="W24" s="92">
        <v>40</v>
      </c>
      <c r="X24" s="93">
        <v>0.183</v>
      </c>
      <c r="Y24" s="93">
        <v>0.20699999999999999</v>
      </c>
      <c r="Z24" s="92">
        <f t="shared" ref="Z24:Z26" si="33">(X24-0.0102)/0.0007</f>
        <v>246.85714285714286</v>
      </c>
      <c r="AA24" s="92">
        <f t="shared" ref="AA24:AA26" si="34">(Y24-0.0102)/0.0007</f>
        <v>281.14285714285711</v>
      </c>
      <c r="AB24" s="92">
        <f t="shared" ref="AB24:AC26" si="35">((500-Z24)/500)*100</f>
        <v>50.628571428571419</v>
      </c>
      <c r="AC24" s="92">
        <f t="shared" si="35"/>
        <v>43.771428571428579</v>
      </c>
      <c r="AD24" s="92">
        <f>AVERAGE(AB24:AB26)</f>
        <v>50.628571428571426</v>
      </c>
      <c r="AE24" s="92">
        <f>AVERAGE(AC24:AC26)</f>
        <v>44.914285714285711</v>
      </c>
      <c r="AF24" s="9">
        <f>_xlfn.STDEV.S(AB24:AB26)</f>
        <v>0.8571428571428612</v>
      </c>
      <c r="AG24" s="79">
        <f>_xlfn.STDEV.S(AC24:AC26)</f>
        <v>1.030157507275417</v>
      </c>
      <c r="AH24" s="92">
        <f t="shared" ref="AH24:AI26" si="36">((500-Z24)/1)*0.05</f>
        <v>12.657142857142858</v>
      </c>
      <c r="AI24" s="92">
        <f t="shared" si="36"/>
        <v>10.942857142857145</v>
      </c>
      <c r="AJ24" s="92">
        <f>AVERAGE(AH24:AH26)</f>
        <v>12.657142857142858</v>
      </c>
      <c r="AK24" s="92">
        <f>AVERAGE(AI24:AI26)</f>
        <v>11.228571428571428</v>
      </c>
      <c r="AL24" s="9">
        <f>_xlfn.STDEV.S(AH24:AH26)</f>
        <v>0.2142857142857153</v>
      </c>
      <c r="AM24" s="9">
        <f>_xlfn.STDEV.S(AI24:AI26)</f>
        <v>0.25753937681885497</v>
      </c>
    </row>
    <row r="25" spans="3:39" x14ac:dyDescent="0.25">
      <c r="C25" s="75"/>
      <c r="D25" s="55"/>
      <c r="E25" s="76">
        <v>0.111</v>
      </c>
      <c r="F25" s="76">
        <v>0.13700000000000001</v>
      </c>
      <c r="G25" s="55">
        <f t="shared" si="29"/>
        <v>144</v>
      </c>
      <c r="H25" s="55">
        <f t="shared" si="30"/>
        <v>181.14285714285717</v>
      </c>
      <c r="I25" s="55">
        <f t="shared" si="31"/>
        <v>64</v>
      </c>
      <c r="J25" s="55">
        <f t="shared" si="31"/>
        <v>54.714285714285701</v>
      </c>
      <c r="K25" s="55"/>
      <c r="L25" s="55"/>
      <c r="M25" s="55"/>
      <c r="N25" s="72"/>
      <c r="O25" s="55">
        <f t="shared" si="32"/>
        <v>12.8</v>
      </c>
      <c r="P25" s="55">
        <f t="shared" si="32"/>
        <v>10.942857142857143</v>
      </c>
      <c r="Q25" s="55"/>
      <c r="R25" s="55"/>
      <c r="S25" s="55"/>
      <c r="T25" s="72"/>
      <c r="V25" s="91"/>
      <c r="W25" s="92"/>
      <c r="X25" s="93">
        <v>0.18</v>
      </c>
      <c r="Y25" s="93">
        <v>0.20200000000000001</v>
      </c>
      <c r="Z25" s="92">
        <f t="shared" si="33"/>
        <v>242.57142857142858</v>
      </c>
      <c r="AA25" s="92">
        <f t="shared" si="34"/>
        <v>274.00000000000006</v>
      </c>
      <c r="AB25" s="92">
        <f t="shared" si="35"/>
        <v>51.485714285714288</v>
      </c>
      <c r="AC25" s="92">
        <f t="shared" si="35"/>
        <v>45.199999999999989</v>
      </c>
      <c r="AD25" s="92"/>
      <c r="AE25" s="92"/>
      <c r="AF25" s="92"/>
      <c r="AG25" s="78"/>
      <c r="AH25" s="92">
        <f t="shared" si="36"/>
        <v>12.871428571428574</v>
      </c>
      <c r="AI25" s="92">
        <f t="shared" si="36"/>
        <v>11.299999999999997</v>
      </c>
      <c r="AJ25" s="92"/>
      <c r="AK25" s="92"/>
      <c r="AL25" s="92"/>
      <c r="AM25" s="78"/>
    </row>
    <row r="26" spans="3:39" x14ac:dyDescent="0.25">
      <c r="C26" s="75"/>
      <c r="D26" s="55"/>
      <c r="E26" s="76">
        <v>0.11600000000000001</v>
      </c>
      <c r="F26" s="76">
        <v>0.13600000000000001</v>
      </c>
      <c r="G26" s="55">
        <f t="shared" si="29"/>
        <v>151.14285714285714</v>
      </c>
      <c r="H26" s="55">
        <f t="shared" si="30"/>
        <v>179.71428571428575</v>
      </c>
      <c r="I26" s="55">
        <f t="shared" si="31"/>
        <v>62.214285714285708</v>
      </c>
      <c r="J26" s="55">
        <f t="shared" si="31"/>
        <v>55.071428571428562</v>
      </c>
      <c r="K26" s="55"/>
      <c r="L26" s="55"/>
      <c r="M26" s="55"/>
      <c r="N26" s="72"/>
      <c r="O26" s="55">
        <f t="shared" si="32"/>
        <v>12.442857142857143</v>
      </c>
      <c r="P26" s="55">
        <f t="shared" si="32"/>
        <v>11.014285714285712</v>
      </c>
      <c r="Q26" s="55"/>
      <c r="R26" s="55"/>
      <c r="S26" s="55"/>
      <c r="T26" s="72"/>
      <c r="V26" s="91"/>
      <c r="W26" s="92"/>
      <c r="X26" s="93">
        <v>0.186</v>
      </c>
      <c r="Y26" s="93">
        <v>0.2</v>
      </c>
      <c r="Z26" s="92">
        <f t="shared" si="33"/>
        <v>251.14285714285717</v>
      </c>
      <c r="AA26" s="92">
        <f t="shared" si="34"/>
        <v>271.14285714285717</v>
      </c>
      <c r="AB26" s="92">
        <f t="shared" si="35"/>
        <v>49.771428571428565</v>
      </c>
      <c r="AC26" s="92">
        <f t="shared" si="35"/>
        <v>45.771428571428565</v>
      </c>
      <c r="AD26" s="92"/>
      <c r="AE26" s="92"/>
      <c r="AF26" s="92"/>
      <c r="AG26" s="78"/>
      <c r="AH26" s="92">
        <f t="shared" si="36"/>
        <v>12.442857142857143</v>
      </c>
      <c r="AI26" s="92">
        <f t="shared" si="36"/>
        <v>11.442857142857143</v>
      </c>
      <c r="AJ26" s="92"/>
      <c r="AK26" s="92"/>
      <c r="AL26" s="92"/>
      <c r="AM26" s="78"/>
    </row>
    <row r="27" spans="3:39" x14ac:dyDescent="0.25">
      <c r="C27" s="75"/>
      <c r="D27" s="55"/>
      <c r="E27" s="76"/>
      <c r="F27" s="76"/>
      <c r="G27" s="55"/>
      <c r="H27" s="72"/>
      <c r="I27" s="55"/>
      <c r="J27" s="72"/>
      <c r="K27" s="72"/>
      <c r="L27" s="72"/>
      <c r="M27" s="55"/>
      <c r="N27" s="72"/>
      <c r="O27" s="55"/>
      <c r="P27" s="72"/>
      <c r="Q27" s="72"/>
      <c r="R27" s="72"/>
      <c r="S27" s="55"/>
      <c r="T27" s="72"/>
      <c r="V27" s="91"/>
      <c r="W27" s="92"/>
      <c r="X27" s="93"/>
      <c r="Y27" s="93"/>
      <c r="Z27" s="92"/>
      <c r="AA27" s="78"/>
      <c r="AB27" s="92"/>
      <c r="AC27" s="78"/>
      <c r="AD27" s="78"/>
      <c r="AE27" s="78"/>
      <c r="AF27" s="92"/>
      <c r="AG27" s="78"/>
      <c r="AH27" s="92"/>
      <c r="AI27" s="78"/>
      <c r="AJ27" s="78"/>
      <c r="AK27" s="78"/>
      <c r="AL27" s="92"/>
      <c r="AM27" s="78"/>
    </row>
    <row r="28" spans="3:39" x14ac:dyDescent="0.25">
      <c r="C28" s="75"/>
      <c r="D28" s="55">
        <v>50</v>
      </c>
      <c r="E28" s="76">
        <v>0.11</v>
      </c>
      <c r="F28" s="76">
        <v>0.129</v>
      </c>
      <c r="G28" s="55">
        <f t="shared" ref="G28:G30" si="37">(E28-0.0102)/0.0007</f>
        <v>142.57142857142858</v>
      </c>
      <c r="H28" s="55">
        <f t="shared" ref="H28:H30" si="38">(F28-0.0102)/0.0007</f>
        <v>169.71428571428572</v>
      </c>
      <c r="I28" s="55">
        <f t="shared" ref="I28:J30" si="39">((400-G28)/400)*100</f>
        <v>64.357142857142861</v>
      </c>
      <c r="J28" s="55">
        <f t="shared" si="39"/>
        <v>57.571428571428577</v>
      </c>
      <c r="K28" s="55">
        <f>AVERAGE(I28:I30)</f>
        <v>65.19047619047619</v>
      </c>
      <c r="L28" s="55">
        <f>AVERAGE(J28:J30)</f>
        <v>58.404761904761905</v>
      </c>
      <c r="M28" s="15">
        <f>_xlfn.STDEV.S(I28:I30)</f>
        <v>0.74345214266647075</v>
      </c>
      <c r="N28" s="12">
        <f>_xlfn.STDEV.S(J28:J30)</f>
        <v>0.89878981372270439</v>
      </c>
      <c r="O28" s="55">
        <f t="shared" ref="O28:P30" si="40">((400-G28)/1)*0.05</f>
        <v>12.871428571428574</v>
      </c>
      <c r="P28" s="55">
        <f t="shared" si="40"/>
        <v>11.514285714285714</v>
      </c>
      <c r="Q28" s="55">
        <f>AVERAGE(O28:O30)</f>
        <v>13.03809523809524</v>
      </c>
      <c r="R28" s="55">
        <f>AVERAGE(P28:P30)</f>
        <v>11.680952380952382</v>
      </c>
      <c r="S28" s="15">
        <f>_xlfn.STDEV.S(O28:O30)</f>
        <v>0.14869042853329395</v>
      </c>
      <c r="T28" s="15">
        <f>_xlfn.STDEV.S(P28:P30)</f>
        <v>0.17975796274454184</v>
      </c>
      <c r="V28" s="91"/>
      <c r="W28" s="92">
        <v>50</v>
      </c>
      <c r="X28" s="93">
        <v>0.17</v>
      </c>
      <c r="Y28" s="93">
        <v>0.191</v>
      </c>
      <c r="Z28" s="92">
        <f t="shared" ref="Z28:Z30" si="41">(X28-0.0102)/0.0007</f>
        <v>228.28571428571428</v>
      </c>
      <c r="AA28" s="92">
        <f t="shared" ref="AA28:AA30" si="42">(Y28-0.0102)/0.0007</f>
        <v>258.28571428571433</v>
      </c>
      <c r="AB28" s="92">
        <f t="shared" ref="AB28:AC30" si="43">((500-Z28)/500)*100</f>
        <v>54.342857142857149</v>
      </c>
      <c r="AC28" s="92">
        <f t="shared" si="43"/>
        <v>48.342857142857135</v>
      </c>
      <c r="AD28" s="92">
        <f>AVERAGE(AB28:AB30)</f>
        <v>53.961904761904769</v>
      </c>
      <c r="AE28" s="92">
        <f>AVERAGE(AC28:AC30)</f>
        <v>47.67619047619047</v>
      </c>
      <c r="AF28" s="9">
        <f>_xlfn.STDEV.S(AB28:AB30)</f>
        <v>0.65982887907385979</v>
      </c>
      <c r="AG28" s="79">
        <f>_xlfn.STDEV.S(AC28:AC30)</f>
        <v>0.59476171413318268</v>
      </c>
      <c r="AH28" s="92">
        <f t="shared" ref="AH28:AI30" si="44">((500-Z28)/1)*0.05</f>
        <v>13.585714285714287</v>
      </c>
      <c r="AI28" s="92">
        <f t="shared" si="44"/>
        <v>12.085714285714284</v>
      </c>
      <c r="AJ28" s="92">
        <f>AVERAGE(AH28:AH30)</f>
        <v>13.490476190476192</v>
      </c>
      <c r="AK28" s="92">
        <f>AVERAGE(AI28:AI30)</f>
        <v>11.919047619047618</v>
      </c>
      <c r="AL28" s="9">
        <f>_xlfn.STDEV.S(AH28:AH30)</f>
        <v>0.16495721976846495</v>
      </c>
      <c r="AM28" s="9">
        <f>_xlfn.STDEV.S(AI28:AI30)</f>
        <v>0.14869042853329539</v>
      </c>
    </row>
    <row r="29" spans="3:39" x14ac:dyDescent="0.25">
      <c r="C29" s="75"/>
      <c r="D29" s="55"/>
      <c r="E29" s="76">
        <v>0.107</v>
      </c>
      <c r="F29" s="76">
        <v>0.127</v>
      </c>
      <c r="G29" s="55">
        <f t="shared" si="37"/>
        <v>138.28571428571428</v>
      </c>
      <c r="H29" s="55">
        <f t="shared" si="38"/>
        <v>166.85714285714286</v>
      </c>
      <c r="I29" s="55">
        <f t="shared" si="39"/>
        <v>65.428571428571431</v>
      </c>
      <c r="J29" s="55">
        <f t="shared" si="39"/>
        <v>58.285714285714285</v>
      </c>
      <c r="K29" s="55"/>
      <c r="L29" s="55"/>
      <c r="M29" s="55"/>
      <c r="N29" s="72"/>
      <c r="O29" s="55">
        <f t="shared" si="40"/>
        <v>13.085714285714287</v>
      </c>
      <c r="P29" s="55">
        <f t="shared" si="40"/>
        <v>11.657142857142858</v>
      </c>
      <c r="Q29" s="55"/>
      <c r="R29" s="55"/>
      <c r="S29" s="55"/>
      <c r="T29" s="72"/>
      <c r="V29" s="91"/>
      <c r="W29" s="92"/>
      <c r="X29" s="93">
        <v>0.17399999999999999</v>
      </c>
      <c r="Y29" s="93">
        <v>0.19400000000000001</v>
      </c>
      <c r="Z29" s="92">
        <f t="shared" si="41"/>
        <v>234</v>
      </c>
      <c r="AA29" s="92">
        <f t="shared" si="42"/>
        <v>262.57142857142861</v>
      </c>
      <c r="AB29" s="92">
        <f t="shared" si="43"/>
        <v>53.2</v>
      </c>
      <c r="AC29" s="92">
        <f t="shared" si="43"/>
        <v>47.485714285714273</v>
      </c>
      <c r="AD29" s="92"/>
      <c r="AE29" s="92"/>
      <c r="AF29" s="92"/>
      <c r="AG29" s="78"/>
      <c r="AH29" s="92">
        <f t="shared" si="44"/>
        <v>13.3</v>
      </c>
      <c r="AI29" s="92">
        <f t="shared" si="44"/>
        <v>11.87142857142857</v>
      </c>
      <c r="AJ29" s="92"/>
      <c r="AK29" s="92"/>
      <c r="AL29" s="92"/>
      <c r="AM29" s="78"/>
    </row>
    <row r="30" spans="3:39" x14ac:dyDescent="0.25">
      <c r="C30" s="77"/>
      <c r="D30" s="55"/>
      <c r="E30" s="76">
        <v>0.106</v>
      </c>
      <c r="F30" s="76">
        <v>0.124</v>
      </c>
      <c r="G30" s="55">
        <f t="shared" si="37"/>
        <v>136.85714285714286</v>
      </c>
      <c r="H30" s="55">
        <f t="shared" si="38"/>
        <v>162.57142857142858</v>
      </c>
      <c r="I30" s="55">
        <f t="shared" si="39"/>
        <v>65.785714285714278</v>
      </c>
      <c r="J30" s="55">
        <f t="shared" si="39"/>
        <v>59.357142857142854</v>
      </c>
      <c r="K30" s="55"/>
      <c r="L30" s="55"/>
      <c r="M30" s="55"/>
      <c r="N30" s="72"/>
      <c r="O30" s="55">
        <f t="shared" si="40"/>
        <v>13.157142857142857</v>
      </c>
      <c r="P30" s="55">
        <f t="shared" si="40"/>
        <v>11.871428571428572</v>
      </c>
      <c r="Q30" s="55"/>
      <c r="R30" s="55"/>
      <c r="S30" s="55"/>
      <c r="T30" s="72"/>
      <c r="V30" s="58"/>
      <c r="W30" s="92"/>
      <c r="X30" s="93">
        <v>0.17</v>
      </c>
      <c r="Y30" s="93">
        <v>0.19500000000000001</v>
      </c>
      <c r="Z30" s="92">
        <f t="shared" si="41"/>
        <v>228.28571428571428</v>
      </c>
      <c r="AA30" s="92">
        <f t="shared" si="42"/>
        <v>264.00000000000006</v>
      </c>
      <c r="AB30" s="92">
        <f t="shared" si="43"/>
        <v>54.342857142857149</v>
      </c>
      <c r="AC30" s="92">
        <f t="shared" si="43"/>
        <v>47.199999999999989</v>
      </c>
      <c r="AD30" s="92"/>
      <c r="AE30" s="92"/>
      <c r="AF30" s="92"/>
      <c r="AG30" s="78"/>
      <c r="AH30" s="92">
        <f t="shared" si="44"/>
        <v>13.585714285714287</v>
      </c>
      <c r="AI30" s="92">
        <f t="shared" si="44"/>
        <v>11.799999999999997</v>
      </c>
      <c r="AJ30" s="92"/>
      <c r="AK30" s="92"/>
      <c r="AL30" s="92"/>
      <c r="AM30" s="78"/>
    </row>
    <row r="34" spans="3:25" ht="18" x14ac:dyDescent="0.35">
      <c r="C34" s="82" t="s">
        <v>50</v>
      </c>
      <c r="D34" s="277" t="s">
        <v>57</v>
      </c>
      <c r="E34" s="278"/>
      <c r="F34" s="278"/>
      <c r="G34" s="279"/>
      <c r="H34" s="277" t="s">
        <v>110</v>
      </c>
      <c r="I34" s="278"/>
      <c r="J34" s="278"/>
      <c r="K34" s="279"/>
      <c r="M34" s="248" t="s">
        <v>50</v>
      </c>
      <c r="N34" s="257" t="s">
        <v>58</v>
      </c>
      <c r="O34" s="280"/>
      <c r="P34" s="280"/>
      <c r="Q34" s="258"/>
      <c r="U34" s="100" t="s">
        <v>50</v>
      </c>
      <c r="V34" s="281" t="s">
        <v>59</v>
      </c>
      <c r="W34" s="282"/>
      <c r="X34" s="282"/>
      <c r="Y34" s="283"/>
    </row>
    <row r="35" spans="3:25" x14ac:dyDescent="0.25">
      <c r="C35" s="11"/>
      <c r="D35" s="11" t="s">
        <v>16</v>
      </c>
      <c r="E35" s="11" t="s">
        <v>9</v>
      </c>
      <c r="F35" s="11" t="s">
        <v>17</v>
      </c>
      <c r="G35" s="11" t="s">
        <v>9</v>
      </c>
      <c r="H35" s="11" t="s">
        <v>16</v>
      </c>
      <c r="I35" s="11" t="s">
        <v>9</v>
      </c>
      <c r="J35" s="11" t="s">
        <v>17</v>
      </c>
      <c r="K35" s="11" t="s">
        <v>9</v>
      </c>
      <c r="M35" s="11"/>
      <c r="N35" s="11" t="s">
        <v>16</v>
      </c>
      <c r="O35" s="11" t="s">
        <v>9</v>
      </c>
      <c r="P35" s="11" t="s">
        <v>17</v>
      </c>
      <c r="Q35" s="11" t="s">
        <v>9</v>
      </c>
      <c r="U35" s="11"/>
      <c r="V35" s="11" t="s">
        <v>16</v>
      </c>
      <c r="W35" s="11" t="s">
        <v>9</v>
      </c>
      <c r="X35" s="11" t="s">
        <v>17</v>
      </c>
      <c r="Y35" s="11" t="s">
        <v>9</v>
      </c>
    </row>
    <row r="36" spans="3:25" x14ac:dyDescent="0.25">
      <c r="C36" s="16">
        <v>150</v>
      </c>
      <c r="D36" s="17">
        <f>K5</f>
        <v>69.07936507936509</v>
      </c>
      <c r="E36" s="17">
        <f>M5</f>
        <v>1.0997147984564262</v>
      </c>
      <c r="F36" s="17">
        <f>L5</f>
        <v>65.904761904761912</v>
      </c>
      <c r="G36" s="17">
        <f>N5</f>
        <v>0.9523809523809561</v>
      </c>
      <c r="H36" s="15">
        <f>Q5</f>
        <v>5.1809523809523812</v>
      </c>
      <c r="I36" s="15">
        <f>S5</f>
        <v>8.247860988423196E-2</v>
      </c>
      <c r="J36" s="15">
        <f>R5</f>
        <v>4.9428571428571431</v>
      </c>
      <c r="K36" s="15">
        <f>T5</f>
        <v>7.1428571428571619E-2</v>
      </c>
      <c r="M36" s="16">
        <v>150</v>
      </c>
      <c r="N36" s="17">
        <f>K9</f>
        <v>77.968253968253975</v>
      </c>
      <c r="O36" s="17">
        <f>M9</f>
        <v>1.4547859349066183</v>
      </c>
      <c r="P36" s="17">
        <f>L9</f>
        <v>73.523809523809518</v>
      </c>
      <c r="Q36" s="17">
        <f>N9</f>
        <v>0.9523809523809561</v>
      </c>
      <c r="U36" s="16">
        <v>150</v>
      </c>
      <c r="V36" s="17">
        <f>K13</f>
        <v>83.682539682539684</v>
      </c>
      <c r="W36" s="17">
        <f>M13</f>
        <v>1.4547859349066248</v>
      </c>
      <c r="X36" s="17">
        <f>L13</f>
        <v>77.968253968253975</v>
      </c>
      <c r="Y36" s="17">
        <f>N13</f>
        <v>1.4547859349066183</v>
      </c>
    </row>
    <row r="37" spans="3:25" x14ac:dyDescent="0.25">
      <c r="C37" s="17">
        <v>300</v>
      </c>
      <c r="D37" s="17">
        <f>AD5</f>
        <v>64.063492063492063</v>
      </c>
      <c r="E37" s="17">
        <f>AF5</f>
        <v>1.4547859349066108</v>
      </c>
      <c r="F37" s="17">
        <f>AE5</f>
        <v>55.333333333333336</v>
      </c>
      <c r="G37" s="17">
        <f>AG5</f>
        <v>1.259881576697425</v>
      </c>
      <c r="H37" s="15">
        <f>AJ5</f>
        <v>9.6095238095238109</v>
      </c>
      <c r="I37" s="15">
        <f>AL5</f>
        <v>0.21821789023599256</v>
      </c>
      <c r="J37" s="15">
        <f>AK5</f>
        <v>8.2999999999999989</v>
      </c>
      <c r="K37" s="15">
        <f>AM5</f>
        <v>0.1889822365046136</v>
      </c>
      <c r="M37" s="17">
        <v>300</v>
      </c>
      <c r="N37" s="17">
        <f>AD9</f>
        <v>68.349206349206355</v>
      </c>
      <c r="O37" s="17">
        <f>AF9</f>
        <v>1.4547859349066183</v>
      </c>
      <c r="P37" s="17">
        <f>AE9</f>
        <v>59.460317460317462</v>
      </c>
      <c r="Q37" s="17">
        <f>AG9</f>
        <v>1.1983864182969506</v>
      </c>
      <c r="U37" s="17">
        <v>300</v>
      </c>
      <c r="V37" s="17">
        <f>AD13</f>
        <v>73.746031746031747</v>
      </c>
      <c r="W37" s="17">
        <f>AF13</f>
        <v>1.1983864182969515</v>
      </c>
      <c r="X37" s="17">
        <f>AE13</f>
        <v>63.587301587301589</v>
      </c>
      <c r="Y37" s="17">
        <f>AG13</f>
        <v>0.99126952355529896</v>
      </c>
    </row>
    <row r="38" spans="3:25" x14ac:dyDescent="0.25">
      <c r="C38" s="17">
        <v>400</v>
      </c>
      <c r="D38" s="17">
        <f>K20</f>
        <v>60.190476190476183</v>
      </c>
      <c r="E38" s="17">
        <f>M20</f>
        <v>0.5455447255899778</v>
      </c>
      <c r="F38" s="17">
        <f>L20</f>
        <v>52.095238095238095</v>
      </c>
      <c r="G38" s="17">
        <f>N20</f>
        <v>1.4433756729740586</v>
      </c>
      <c r="H38" s="15">
        <f>Q20</f>
        <v>12.038095238095238</v>
      </c>
      <c r="I38" s="15">
        <f>S20</f>
        <v>0.10910894511799678</v>
      </c>
      <c r="J38" s="15">
        <f>R20</f>
        <v>10.419047619047619</v>
      </c>
      <c r="K38" s="15">
        <f>T20</f>
        <v>0.2886751345948117</v>
      </c>
      <c r="M38" s="17">
        <v>400</v>
      </c>
      <c r="N38" s="17">
        <f>K24</f>
        <v>62.928571428571423</v>
      </c>
      <c r="O38" s="17">
        <f>M24</f>
        <v>0.94491118252307071</v>
      </c>
      <c r="P38" s="17">
        <f>L24</f>
        <v>54.595238095238081</v>
      </c>
      <c r="Q38" s="17">
        <f>N24</f>
        <v>0.54554472558997946</v>
      </c>
      <c r="U38" s="17">
        <v>400</v>
      </c>
      <c r="V38" s="15">
        <f>K28</f>
        <v>65.19047619047619</v>
      </c>
      <c r="W38" s="15">
        <f>M28</f>
        <v>0.74345214266647075</v>
      </c>
      <c r="X38" s="15">
        <f>L28</f>
        <v>58.404761904761905</v>
      </c>
      <c r="Y38" s="15">
        <f>N28</f>
        <v>0.89878981372270439</v>
      </c>
    </row>
    <row r="39" spans="3:25" x14ac:dyDescent="0.25">
      <c r="C39" s="17">
        <v>500</v>
      </c>
      <c r="D39" s="15">
        <f>AD20</f>
        <v>48.533333333333331</v>
      </c>
      <c r="E39" s="15">
        <f>AF20</f>
        <v>0.43643578047198245</v>
      </c>
      <c r="F39" s="15">
        <f>AE20</f>
        <v>40.723809523809528</v>
      </c>
      <c r="G39" s="15">
        <f>AG20</f>
        <v>0.87287156094396645</v>
      </c>
      <c r="H39" s="15">
        <f>AJ20</f>
        <v>12.133333333333333</v>
      </c>
      <c r="I39" s="15">
        <f>AL20</f>
        <v>0.10910894511799581</v>
      </c>
      <c r="J39" s="15">
        <f>AK20</f>
        <v>10.180952380952384</v>
      </c>
      <c r="K39" s="15">
        <f>AM20</f>
        <v>0.21821789023599256</v>
      </c>
      <c r="M39" s="17">
        <v>500</v>
      </c>
      <c r="N39" s="15">
        <f>AD24</f>
        <v>50.628571428571426</v>
      </c>
      <c r="O39" s="15">
        <f>AF24</f>
        <v>0.8571428571428612</v>
      </c>
      <c r="P39" s="15">
        <f>AE24</f>
        <v>44.914285714285711</v>
      </c>
      <c r="Q39" s="15">
        <f>AG24</f>
        <v>1.030157507275417</v>
      </c>
      <c r="U39" s="17">
        <v>500</v>
      </c>
      <c r="V39" s="15">
        <f>AD28</f>
        <v>53.961904761904769</v>
      </c>
      <c r="W39" s="15">
        <f>AF28</f>
        <v>0.65982887907385979</v>
      </c>
      <c r="X39" s="15">
        <f>AE28</f>
        <v>47.67619047619047</v>
      </c>
      <c r="Y39" s="15">
        <f>AG28</f>
        <v>0.59476171413318268</v>
      </c>
    </row>
  </sheetData>
  <mergeCells count="4">
    <mergeCell ref="D34:G34"/>
    <mergeCell ref="N34:Q34"/>
    <mergeCell ref="V34:Y34"/>
    <mergeCell ref="H34:K3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A441"/>
  <sheetViews>
    <sheetView topLeftCell="A121" workbookViewId="0">
      <selection activeCell="I169" sqref="I169"/>
    </sheetView>
  </sheetViews>
  <sheetFormatPr defaultRowHeight="15" x14ac:dyDescent="0.25"/>
  <cols>
    <col min="4" max="4" width="14" customWidth="1"/>
    <col min="5" max="5" width="15.42578125" customWidth="1"/>
    <col min="6" max="6" width="13" customWidth="1"/>
    <col min="7" max="7" width="15.140625" customWidth="1"/>
    <col min="8" max="8" width="9.42578125" customWidth="1"/>
    <col min="10" max="10" width="12" customWidth="1"/>
    <col min="11" max="11" width="15.42578125" customWidth="1"/>
    <col min="20" max="20" width="12.42578125" customWidth="1"/>
    <col min="21" max="21" width="12.5703125" customWidth="1"/>
  </cols>
  <sheetData>
    <row r="3" spans="6:30" x14ac:dyDescent="0.25">
      <c r="F3" s="4"/>
      <c r="G3" s="9"/>
      <c r="H3" s="6" t="s">
        <v>8</v>
      </c>
      <c r="I3" s="6" t="s">
        <v>7</v>
      </c>
      <c r="J3" s="6" t="s">
        <v>8</v>
      </c>
      <c r="K3" s="6" t="s">
        <v>7</v>
      </c>
      <c r="L3" s="6" t="s">
        <v>8</v>
      </c>
      <c r="M3" s="6" t="s">
        <v>7</v>
      </c>
      <c r="N3" s="6" t="s">
        <v>8</v>
      </c>
      <c r="O3" s="6" t="s">
        <v>7</v>
      </c>
      <c r="P3" s="6" t="s">
        <v>8</v>
      </c>
      <c r="Q3" s="6" t="s">
        <v>7</v>
      </c>
      <c r="R3" s="6" t="s">
        <v>8</v>
      </c>
      <c r="S3" s="6" t="s">
        <v>7</v>
      </c>
      <c r="T3" s="6" t="s">
        <v>8</v>
      </c>
      <c r="U3" s="6" t="s">
        <v>7</v>
      </c>
      <c r="V3" s="6" t="s">
        <v>8</v>
      </c>
      <c r="W3" s="6" t="s">
        <v>7</v>
      </c>
      <c r="X3" s="18"/>
      <c r="Y3" s="19"/>
      <c r="Z3" s="18"/>
      <c r="AA3" s="18"/>
      <c r="AB3" s="20"/>
      <c r="AC3" s="18"/>
      <c r="AD3" s="18"/>
    </row>
    <row r="4" spans="6:30" ht="18" x14ac:dyDescent="0.35">
      <c r="F4" s="3" t="s">
        <v>0</v>
      </c>
      <c r="G4" s="6" t="s">
        <v>1</v>
      </c>
      <c r="H4" s="1" t="s">
        <v>2</v>
      </c>
      <c r="I4" s="1" t="s">
        <v>2</v>
      </c>
      <c r="J4" s="6" t="s">
        <v>3</v>
      </c>
      <c r="K4" s="6" t="s">
        <v>3</v>
      </c>
      <c r="L4" s="6" t="s">
        <v>4</v>
      </c>
      <c r="M4" s="6" t="s">
        <v>4</v>
      </c>
      <c r="N4" s="6" t="s">
        <v>10</v>
      </c>
      <c r="O4" s="6" t="s">
        <v>10</v>
      </c>
      <c r="P4" s="6" t="s">
        <v>9</v>
      </c>
      <c r="Q4" s="6" t="s">
        <v>9</v>
      </c>
      <c r="R4" s="6" t="s">
        <v>5</v>
      </c>
      <c r="S4" s="6" t="s">
        <v>5</v>
      </c>
      <c r="T4" s="6" t="s">
        <v>11</v>
      </c>
      <c r="U4" s="6" t="s">
        <v>11</v>
      </c>
      <c r="V4" s="6" t="s">
        <v>9</v>
      </c>
      <c r="W4" s="6" t="s">
        <v>9</v>
      </c>
      <c r="X4" s="19"/>
      <c r="Y4" s="19"/>
      <c r="Z4" s="19"/>
      <c r="AA4" s="19"/>
      <c r="AB4" s="19"/>
      <c r="AC4" s="19"/>
      <c r="AD4" s="18"/>
    </row>
    <row r="5" spans="6:30" x14ac:dyDescent="0.25">
      <c r="F5" s="2" t="s">
        <v>6</v>
      </c>
      <c r="G5" s="10">
        <v>30</v>
      </c>
      <c r="H5" s="8">
        <v>4.2000000000000003E-2</v>
      </c>
      <c r="I5" s="10">
        <v>4.7E-2</v>
      </c>
      <c r="J5" s="10">
        <f t="shared" ref="J5:K7" si="0">(H5-0.0102)/0.0007</f>
        <v>45.428571428571431</v>
      </c>
      <c r="K5" s="10">
        <f t="shared" si="0"/>
        <v>52.571428571428569</v>
      </c>
      <c r="L5" s="10">
        <f t="shared" ref="L5:M7" si="1">((150-J5)/150)*100</f>
        <v>69.714285714285722</v>
      </c>
      <c r="M5" s="10">
        <f t="shared" si="1"/>
        <v>64.952380952380949</v>
      </c>
      <c r="N5" s="10">
        <f>AVERAGE(L5:L7)</f>
        <v>69.07936507936509</v>
      </c>
      <c r="O5" s="10">
        <f>AVERAGE(M5:M7)</f>
        <v>65.904761904761912</v>
      </c>
      <c r="P5" s="15">
        <f>_xlfn.STDEV.S(L5:L7)</f>
        <v>1.0997147984564262</v>
      </c>
      <c r="Q5" s="12">
        <f>_xlfn.STDEV.S(M5:M7)</f>
        <v>0.9523809523809561</v>
      </c>
      <c r="R5" s="10">
        <f>((150-J5)/1)*0.05</f>
        <v>5.2285714285714286</v>
      </c>
      <c r="S5" s="10">
        <f>((150-K5)/1)*0.05</f>
        <v>4.8714285714285719</v>
      </c>
      <c r="T5" s="10">
        <f>AVERAGE(R5:R7)</f>
        <v>5.1809523809523812</v>
      </c>
      <c r="U5" s="10">
        <f>AVERAGE(S5:S7)</f>
        <v>4.9428571428571431</v>
      </c>
      <c r="V5" s="15">
        <f>_xlfn.STDEV.S(R5:R7)</f>
        <v>8.247860988423196E-2</v>
      </c>
      <c r="W5" s="15">
        <f>_xlfn.STDEV.S(S5:S7)</f>
        <v>7.1428571428571619E-2</v>
      </c>
      <c r="X5" s="21"/>
      <c r="Y5" s="21"/>
      <c r="Z5" s="18"/>
      <c r="AA5" s="21"/>
      <c r="AB5" s="21"/>
      <c r="AC5" s="18"/>
      <c r="AD5" s="18"/>
    </row>
    <row r="6" spans="6:30" ht="18" x14ac:dyDescent="0.35">
      <c r="F6" s="2" t="s">
        <v>19</v>
      </c>
      <c r="G6" s="10"/>
      <c r="H6" s="8">
        <v>4.3999999999999997E-2</v>
      </c>
      <c r="I6" s="10">
        <v>4.4999999999999998E-2</v>
      </c>
      <c r="J6" s="10">
        <f t="shared" si="0"/>
        <v>48.285714285714285</v>
      </c>
      <c r="K6" s="10">
        <f t="shared" si="0"/>
        <v>49.714285714285708</v>
      </c>
      <c r="L6" s="10">
        <f t="shared" si="1"/>
        <v>67.809523809523824</v>
      </c>
      <c r="M6" s="10">
        <f t="shared" si="1"/>
        <v>66.857142857142861</v>
      </c>
      <c r="N6" s="10"/>
      <c r="O6" s="10"/>
      <c r="P6" s="10"/>
      <c r="Q6" s="9"/>
      <c r="R6" s="10">
        <f t="shared" ref="R6:R7" si="2">((150-J6)/1)*0.05</f>
        <v>5.0857142857142863</v>
      </c>
      <c r="S6" s="10">
        <f t="shared" ref="S6:S7" si="3">((150-K6)/1)*0.05</f>
        <v>5.0142857142857151</v>
      </c>
      <c r="T6" s="10"/>
      <c r="U6" s="10"/>
      <c r="V6" s="10"/>
      <c r="W6" s="9"/>
      <c r="X6" s="21"/>
      <c r="Y6" s="21"/>
      <c r="Z6" s="18"/>
      <c r="AA6" s="21"/>
      <c r="AB6" s="21"/>
      <c r="AC6" s="18"/>
      <c r="AD6" s="18"/>
    </row>
    <row r="7" spans="6:30" x14ac:dyDescent="0.25">
      <c r="F7" s="2"/>
      <c r="G7" s="10"/>
      <c r="H7" s="8">
        <v>4.2000000000000003E-2</v>
      </c>
      <c r="I7" s="10">
        <v>4.5999999999999999E-2</v>
      </c>
      <c r="J7" s="10">
        <f t="shared" si="0"/>
        <v>45.428571428571431</v>
      </c>
      <c r="K7" s="10">
        <f t="shared" si="0"/>
        <v>51.142857142857139</v>
      </c>
      <c r="L7" s="10">
        <f t="shared" si="1"/>
        <v>69.714285714285722</v>
      </c>
      <c r="M7" s="10">
        <f t="shared" si="1"/>
        <v>65.904761904761912</v>
      </c>
      <c r="N7" s="10"/>
      <c r="O7" s="10"/>
      <c r="P7" s="10"/>
      <c r="Q7" s="9"/>
      <c r="R7" s="10">
        <f t="shared" si="2"/>
        <v>5.2285714285714286</v>
      </c>
      <c r="S7" s="10">
        <f t="shared" si="3"/>
        <v>4.9428571428571431</v>
      </c>
      <c r="T7" s="10"/>
      <c r="U7" s="10"/>
      <c r="V7" s="10"/>
      <c r="W7" s="9"/>
      <c r="X7" s="21"/>
      <c r="Y7" s="21"/>
      <c r="Z7" s="18"/>
      <c r="AA7" s="21"/>
      <c r="AB7" s="21"/>
      <c r="AC7" s="18"/>
      <c r="AD7" s="18"/>
    </row>
    <row r="8" spans="6:30" x14ac:dyDescent="0.25">
      <c r="F8" s="2"/>
      <c r="G8" s="10"/>
      <c r="H8" s="8"/>
      <c r="I8" s="8"/>
      <c r="J8" s="10"/>
      <c r="K8" s="9"/>
      <c r="L8" s="10"/>
      <c r="M8" s="9"/>
      <c r="N8" s="9"/>
      <c r="O8" s="9"/>
      <c r="P8" s="10"/>
      <c r="Q8" s="9"/>
      <c r="R8" s="10"/>
      <c r="S8" s="9"/>
      <c r="T8" s="9"/>
      <c r="U8" s="9"/>
      <c r="V8" s="10"/>
      <c r="W8" s="9"/>
      <c r="X8" s="18"/>
      <c r="Y8" s="18"/>
      <c r="Z8" s="18"/>
      <c r="AA8" s="18"/>
      <c r="AB8" s="18"/>
      <c r="AC8" s="18"/>
      <c r="AD8" s="18"/>
    </row>
    <row r="9" spans="6:30" x14ac:dyDescent="0.25">
      <c r="F9" s="2"/>
      <c r="G9" s="10">
        <v>40</v>
      </c>
      <c r="H9" s="8">
        <v>3.5000000000000003E-2</v>
      </c>
      <c r="I9" s="8">
        <v>3.6999999999999998E-2</v>
      </c>
      <c r="J9" s="10">
        <f t="shared" ref="J9:K11" si="4">(H9-0.0102)/0.0007</f>
        <v>35.428571428571431</v>
      </c>
      <c r="K9" s="10">
        <f t="shared" si="4"/>
        <v>38.285714285714285</v>
      </c>
      <c r="L9" s="10">
        <f t="shared" ref="L9:M11" si="5">((150-J9)/150)*100</f>
        <v>76.38095238095238</v>
      </c>
      <c r="M9" s="10">
        <f t="shared" si="5"/>
        <v>74.476190476190482</v>
      </c>
      <c r="N9" s="10">
        <f>AVERAGE(L9:L11)</f>
        <v>77.968253968253975</v>
      </c>
      <c r="O9" s="10">
        <f>AVERAGE(M9:M11)</f>
        <v>73.523809523809518</v>
      </c>
      <c r="P9" s="15">
        <f>_xlfn.STDEV.S(L9:L11)</f>
        <v>1.4547859349066183</v>
      </c>
      <c r="Q9" s="12">
        <f>_xlfn.STDEV.S(M9:M11)</f>
        <v>0.9523809523809561</v>
      </c>
      <c r="R9" s="10">
        <f>((150-J9)/1)*0.05</f>
        <v>5.7285714285714286</v>
      </c>
      <c r="S9" s="10">
        <f>((150-K9)/1)*0.05</f>
        <v>5.5857142857142863</v>
      </c>
      <c r="T9" s="10">
        <f>AVERAGE(R9:R11)</f>
        <v>5.8476190476190482</v>
      </c>
      <c r="U9" s="10">
        <f>AVERAGE(S9:S11)</f>
        <v>5.5142857142857151</v>
      </c>
      <c r="V9" s="15">
        <f>_xlfn.STDEV.S(R9:R11)</f>
        <v>0.10910894511799628</v>
      </c>
      <c r="W9" s="15">
        <f>_xlfn.STDEV.S(S9:S11)</f>
        <v>7.1428571428571619E-2</v>
      </c>
      <c r="X9" s="18"/>
      <c r="Y9" s="18"/>
      <c r="Z9" s="18"/>
      <c r="AA9" s="18"/>
      <c r="AB9" s="18"/>
      <c r="AC9" s="18"/>
      <c r="AD9" s="18"/>
    </row>
    <row r="10" spans="6:30" x14ac:dyDescent="0.25">
      <c r="F10" s="2"/>
      <c r="G10" s="10"/>
      <c r="H10" s="8">
        <v>3.2000000000000001E-2</v>
      </c>
      <c r="I10" s="8">
        <v>3.7999999999999999E-2</v>
      </c>
      <c r="J10" s="10">
        <f t="shared" si="4"/>
        <v>31.142857142857142</v>
      </c>
      <c r="K10" s="10">
        <f t="shared" si="4"/>
        <v>39.714285714285715</v>
      </c>
      <c r="L10" s="10">
        <f t="shared" si="5"/>
        <v>79.238095238095241</v>
      </c>
      <c r="M10" s="10">
        <f t="shared" si="5"/>
        <v>73.523809523809518</v>
      </c>
      <c r="N10" s="10"/>
      <c r="O10" s="10"/>
      <c r="P10" s="10"/>
      <c r="Q10" s="9"/>
      <c r="R10" s="10">
        <f t="shared" ref="R10:R11" si="6">((150-J10)/1)*0.05</f>
        <v>5.9428571428571431</v>
      </c>
      <c r="S10" s="10">
        <f t="shared" ref="S10:S11" si="7">((150-K10)/1)*0.05</f>
        <v>5.5142857142857142</v>
      </c>
      <c r="T10" s="10"/>
      <c r="U10" s="10"/>
      <c r="V10" s="10"/>
      <c r="W10" s="9"/>
      <c r="X10" s="18"/>
      <c r="Y10" s="18"/>
      <c r="Z10" s="18"/>
      <c r="AA10" s="18"/>
      <c r="AB10" s="18"/>
      <c r="AC10" s="18"/>
      <c r="AD10" s="18"/>
    </row>
    <row r="11" spans="6:30" x14ac:dyDescent="0.25">
      <c r="F11" s="2"/>
      <c r="G11" s="10"/>
      <c r="H11" s="8">
        <v>3.3000000000000002E-2</v>
      </c>
      <c r="I11" s="8">
        <v>3.9E-2</v>
      </c>
      <c r="J11" s="10">
        <f t="shared" si="4"/>
        <v>32.571428571428569</v>
      </c>
      <c r="K11" s="10">
        <f t="shared" si="4"/>
        <v>41.142857142857139</v>
      </c>
      <c r="L11" s="10">
        <f t="shared" si="5"/>
        <v>78.285714285714292</v>
      </c>
      <c r="M11" s="10">
        <f t="shared" si="5"/>
        <v>72.571428571428569</v>
      </c>
      <c r="N11" s="10"/>
      <c r="O11" s="10"/>
      <c r="P11" s="10"/>
      <c r="Q11" s="9"/>
      <c r="R11" s="10">
        <f t="shared" si="6"/>
        <v>5.8714285714285719</v>
      </c>
      <c r="S11" s="10">
        <f t="shared" si="7"/>
        <v>5.4428571428571431</v>
      </c>
      <c r="T11" s="10"/>
      <c r="U11" s="10"/>
      <c r="V11" s="10"/>
      <c r="W11" s="9"/>
      <c r="X11" s="18"/>
      <c r="Y11" s="18"/>
      <c r="Z11" s="18"/>
      <c r="AA11" s="18"/>
      <c r="AB11" s="18"/>
      <c r="AC11" s="18"/>
      <c r="AD11" s="18"/>
    </row>
    <row r="12" spans="6:30" x14ac:dyDescent="0.25">
      <c r="F12" s="2"/>
      <c r="G12" s="10"/>
      <c r="H12" s="8"/>
      <c r="I12" s="8"/>
      <c r="J12" s="10"/>
      <c r="K12" s="9"/>
      <c r="L12" s="10"/>
      <c r="M12" s="9"/>
      <c r="N12" s="9"/>
      <c r="O12" s="9"/>
      <c r="P12" s="10"/>
      <c r="Q12" s="9"/>
      <c r="R12" s="10"/>
      <c r="S12" s="9"/>
      <c r="T12" s="9"/>
      <c r="U12" s="9"/>
      <c r="V12" s="10"/>
      <c r="W12" s="9"/>
      <c r="X12" s="18"/>
      <c r="Y12" s="18"/>
      <c r="Z12" s="18"/>
      <c r="AA12" s="18"/>
      <c r="AB12" s="18"/>
      <c r="AC12" s="18"/>
      <c r="AD12" s="18"/>
    </row>
    <row r="13" spans="6:30" x14ac:dyDescent="0.25">
      <c r="F13" s="2"/>
      <c r="G13" s="10">
        <v>50</v>
      </c>
      <c r="H13" s="8">
        <v>2.5999999999999999E-2</v>
      </c>
      <c r="I13" s="8">
        <v>3.5000000000000003E-2</v>
      </c>
      <c r="J13" s="10">
        <f t="shared" ref="J13:K15" si="8">(H13-0.0102)/0.0007</f>
        <v>22.571428571428569</v>
      </c>
      <c r="K13" s="10">
        <f t="shared" si="8"/>
        <v>35.428571428571431</v>
      </c>
      <c r="L13" s="10">
        <f t="shared" ref="L13:M15" si="9">((150-J13)/150)*100</f>
        <v>84.952380952380963</v>
      </c>
      <c r="M13" s="10">
        <f t="shared" si="9"/>
        <v>76.38095238095238</v>
      </c>
      <c r="N13" s="10">
        <f>AVERAGE(L13:L15)</f>
        <v>83.682539682539684</v>
      </c>
      <c r="O13" s="10">
        <f>AVERAGE(M13:M15)</f>
        <v>77.968253968253975</v>
      </c>
      <c r="P13" s="15">
        <f>_xlfn.STDEV.S(L13:L15)</f>
        <v>1.4547859349066248</v>
      </c>
      <c r="Q13" s="12">
        <f>_xlfn.STDEV.S(M13:M15)</f>
        <v>1.4547859349066183</v>
      </c>
      <c r="R13" s="10">
        <f>((150-J13)/1)*0.05</f>
        <v>6.3714285714285719</v>
      </c>
      <c r="S13" s="10">
        <f>((150-K13)/1)*0.05</f>
        <v>5.7285714285714286</v>
      </c>
      <c r="T13" s="10">
        <f>AVERAGE(R13:R15)</f>
        <v>6.2761904761904761</v>
      </c>
      <c r="U13" s="10">
        <f>AVERAGE(S13:S15)</f>
        <v>5.8476190476190482</v>
      </c>
      <c r="V13" s="15">
        <f>_xlfn.STDEV.S(R13:R15)</f>
        <v>0.10910894511799628</v>
      </c>
      <c r="W13" s="15">
        <f>_xlfn.STDEV.S(S13:S15)</f>
        <v>0.10910894511799628</v>
      </c>
      <c r="X13" s="18"/>
      <c r="Y13" s="18"/>
      <c r="Z13" s="18"/>
      <c r="AA13" s="18"/>
      <c r="AB13" s="18"/>
      <c r="AC13" s="18"/>
      <c r="AD13" s="18"/>
    </row>
    <row r="14" spans="6:30" x14ac:dyDescent="0.25">
      <c r="F14" s="2"/>
      <c r="G14" s="10"/>
      <c r="H14" s="8">
        <v>2.7E-2</v>
      </c>
      <c r="I14" s="8">
        <v>3.2000000000000001E-2</v>
      </c>
      <c r="J14" s="10">
        <f t="shared" si="8"/>
        <v>24</v>
      </c>
      <c r="K14" s="10">
        <f t="shared" si="8"/>
        <v>31.142857142857142</v>
      </c>
      <c r="L14" s="10">
        <f t="shared" si="9"/>
        <v>84</v>
      </c>
      <c r="M14" s="10">
        <f t="shared" si="9"/>
        <v>79.238095238095241</v>
      </c>
      <c r="N14" s="10"/>
      <c r="O14" s="10"/>
      <c r="P14" s="10"/>
      <c r="Q14" s="9"/>
      <c r="R14" s="10">
        <f t="shared" ref="R14:R15" si="10">((150-J14)/1)*0.05</f>
        <v>6.3000000000000007</v>
      </c>
      <c r="S14" s="10">
        <f t="shared" ref="S14:S15" si="11">((150-K14)/1)*0.05</f>
        <v>5.9428571428571431</v>
      </c>
      <c r="T14" s="10"/>
      <c r="U14" s="10"/>
      <c r="V14" s="10"/>
      <c r="W14" s="9"/>
      <c r="X14" s="7"/>
    </row>
    <row r="15" spans="6:30" x14ac:dyDescent="0.25">
      <c r="F15" s="5"/>
      <c r="G15" s="10"/>
      <c r="H15" s="8">
        <v>2.9000000000000001E-2</v>
      </c>
      <c r="I15" s="8">
        <v>3.3000000000000002E-2</v>
      </c>
      <c r="J15" s="10">
        <f t="shared" si="8"/>
        <v>26.857142857142858</v>
      </c>
      <c r="K15" s="10">
        <f t="shared" si="8"/>
        <v>32.571428571428569</v>
      </c>
      <c r="L15" s="10">
        <f t="shared" si="9"/>
        <v>82.095238095238088</v>
      </c>
      <c r="M15" s="10">
        <f t="shared" si="9"/>
        <v>78.285714285714292</v>
      </c>
      <c r="N15" s="10"/>
      <c r="O15" s="10"/>
      <c r="P15" s="10"/>
      <c r="Q15" s="9"/>
      <c r="R15" s="10">
        <f t="shared" si="10"/>
        <v>6.1571428571428575</v>
      </c>
      <c r="S15" s="10">
        <f t="shared" si="11"/>
        <v>5.8714285714285719</v>
      </c>
      <c r="T15" s="10"/>
      <c r="U15" s="10"/>
      <c r="V15" s="10"/>
      <c r="W15" s="9"/>
      <c r="X15" s="7"/>
    </row>
    <row r="16" spans="6:30" x14ac:dyDescent="0.25">
      <c r="W16" s="7"/>
      <c r="X16" s="7"/>
    </row>
    <row r="18" spans="6:28" x14ac:dyDescent="0.25">
      <c r="F18" s="6" t="s">
        <v>1</v>
      </c>
      <c r="G18" s="301" t="s">
        <v>18</v>
      </c>
      <c r="H18" s="302"/>
      <c r="I18" s="302"/>
      <c r="J18" s="303"/>
    </row>
    <row r="19" spans="6:28" x14ac:dyDescent="0.25">
      <c r="F19" s="11"/>
      <c r="G19" s="11" t="s">
        <v>16</v>
      </c>
      <c r="H19" s="11" t="s">
        <v>9</v>
      </c>
      <c r="I19" s="11" t="s">
        <v>17</v>
      </c>
      <c r="J19" s="11" t="s">
        <v>9</v>
      </c>
    </row>
    <row r="20" spans="6:28" x14ac:dyDescent="0.25">
      <c r="F20" s="16">
        <v>30</v>
      </c>
      <c r="G20" s="17">
        <f>N5</f>
        <v>69.07936507936509</v>
      </c>
      <c r="H20" s="17">
        <f>P5</f>
        <v>1.0997147984564262</v>
      </c>
      <c r="I20" s="17">
        <f>O5</f>
        <v>65.904761904761912</v>
      </c>
      <c r="J20" s="17">
        <f>Q5</f>
        <v>0.9523809523809561</v>
      </c>
    </row>
    <row r="21" spans="6:28" x14ac:dyDescent="0.25">
      <c r="F21" s="17">
        <v>40</v>
      </c>
      <c r="G21" s="17">
        <f>N9</f>
        <v>77.968253968253975</v>
      </c>
      <c r="H21" s="17">
        <f>P9</f>
        <v>1.4547859349066183</v>
      </c>
      <c r="I21" s="17">
        <f>O9</f>
        <v>73.523809523809518</v>
      </c>
      <c r="J21" s="17">
        <f>Q9</f>
        <v>0.9523809523809561</v>
      </c>
    </row>
    <row r="22" spans="6:28" x14ac:dyDescent="0.25">
      <c r="F22" s="17">
        <v>50</v>
      </c>
      <c r="G22" s="17">
        <f>N13</f>
        <v>83.682539682539684</v>
      </c>
      <c r="H22" s="17">
        <f>P13</f>
        <v>1.4547859349066248</v>
      </c>
      <c r="I22" s="17">
        <f>O13</f>
        <v>77.968253968253975</v>
      </c>
      <c r="J22" s="17">
        <f>Q13</f>
        <v>1.4547859349066183</v>
      </c>
    </row>
    <row r="31" spans="6:28" x14ac:dyDescent="0.25">
      <c r="F31" s="7"/>
    </row>
    <row r="32" spans="6:28" x14ac:dyDescent="0.25">
      <c r="AA32" s="163"/>
      <c r="AB32" s="163"/>
    </row>
    <row r="33" spans="3:53" x14ac:dyDescent="0.25">
      <c r="AA33" s="163"/>
      <c r="AB33" s="163"/>
    </row>
    <row r="34" spans="3:53" ht="18" x14ac:dyDescent="0.35">
      <c r="C34" s="108" t="s">
        <v>0</v>
      </c>
      <c r="D34" s="137" t="s">
        <v>1</v>
      </c>
      <c r="E34" s="137" t="s">
        <v>2</v>
      </c>
      <c r="F34" s="137" t="s">
        <v>3</v>
      </c>
      <c r="G34" s="137" t="s">
        <v>4</v>
      </c>
      <c r="H34" s="137" t="s">
        <v>10</v>
      </c>
      <c r="I34" s="137" t="s">
        <v>9</v>
      </c>
      <c r="J34" s="137" t="s">
        <v>56</v>
      </c>
      <c r="K34" s="137" t="s">
        <v>5</v>
      </c>
      <c r="L34" s="137" t="s">
        <v>11</v>
      </c>
      <c r="M34" s="1" t="s">
        <v>9</v>
      </c>
      <c r="O34" s="138" t="s">
        <v>43</v>
      </c>
      <c r="P34" s="139" t="s">
        <v>1</v>
      </c>
      <c r="Q34" s="139" t="s">
        <v>2</v>
      </c>
      <c r="R34" s="139" t="s">
        <v>3</v>
      </c>
      <c r="S34" s="139" t="s">
        <v>4</v>
      </c>
      <c r="T34" s="139" t="s">
        <v>10</v>
      </c>
      <c r="U34" s="139" t="s">
        <v>9</v>
      </c>
      <c r="V34" s="139" t="s">
        <v>56</v>
      </c>
      <c r="W34" s="139" t="s">
        <v>5</v>
      </c>
      <c r="X34" s="139" t="s">
        <v>11</v>
      </c>
      <c r="Y34" s="140" t="s">
        <v>9</v>
      </c>
      <c r="AA34" s="163"/>
      <c r="AB34" s="163"/>
      <c r="AD34" s="108" t="s">
        <v>0</v>
      </c>
      <c r="AE34" s="137" t="s">
        <v>1</v>
      </c>
      <c r="AF34" s="137" t="s">
        <v>2</v>
      </c>
      <c r="AG34" s="137" t="s">
        <v>3</v>
      </c>
      <c r="AH34" s="137" t="s">
        <v>4</v>
      </c>
      <c r="AI34" s="137" t="s">
        <v>10</v>
      </c>
      <c r="AJ34" s="137" t="s">
        <v>9</v>
      </c>
      <c r="AK34" s="137" t="s">
        <v>56</v>
      </c>
      <c r="AL34" s="137" t="s">
        <v>5</v>
      </c>
      <c r="AM34" s="164" t="s">
        <v>11</v>
      </c>
      <c r="AN34" s="1" t="s">
        <v>9</v>
      </c>
      <c r="AQ34" s="138" t="s">
        <v>43</v>
      </c>
      <c r="AR34" s="139" t="s">
        <v>1</v>
      </c>
      <c r="AS34" s="139" t="s">
        <v>2</v>
      </c>
      <c r="AT34" s="139" t="s">
        <v>3</v>
      </c>
      <c r="AU34" s="139" t="s">
        <v>4</v>
      </c>
      <c r="AV34" s="139" t="s">
        <v>10</v>
      </c>
      <c r="AW34" s="139" t="s">
        <v>9</v>
      </c>
      <c r="AX34" s="139" t="s">
        <v>56</v>
      </c>
      <c r="AY34" s="139" t="s">
        <v>5</v>
      </c>
      <c r="AZ34" s="187" t="s">
        <v>11</v>
      </c>
      <c r="BA34" s="140" t="s">
        <v>9</v>
      </c>
    </row>
    <row r="35" spans="3:53" x14ac:dyDescent="0.25">
      <c r="C35" s="2" t="s">
        <v>6</v>
      </c>
      <c r="D35" s="141">
        <v>30</v>
      </c>
      <c r="E35" s="141">
        <v>4.2000000000000003E-2</v>
      </c>
      <c r="F35" s="141">
        <f>(E35-0.0102)/0.0007</f>
        <v>45.428571428571431</v>
      </c>
      <c r="G35" s="141">
        <f>((150-F35)/150)*100</f>
        <v>69.714285714285722</v>
      </c>
      <c r="H35" s="141">
        <f>AVERAGE(G35:G37)</f>
        <v>69.07936507936509</v>
      </c>
      <c r="I35" s="141">
        <f>_xlfn.STDEV.S(G35:G37)</f>
        <v>1.0997147984564262</v>
      </c>
      <c r="J35" s="141">
        <f>AVERAGE(F35:F37)</f>
        <v>46.380952380952387</v>
      </c>
      <c r="K35" s="141">
        <f>((150-F35)/1)*0.05</f>
        <v>5.2285714285714286</v>
      </c>
      <c r="L35" s="141">
        <f>AVERAGE(K35:K37)</f>
        <v>5.1809523809523812</v>
      </c>
      <c r="M35" s="175">
        <f>_xlfn.STDEV.S(K35:K37)</f>
        <v>8.247860988423196E-2</v>
      </c>
      <c r="O35" s="143" t="s">
        <v>6</v>
      </c>
      <c r="P35" s="144">
        <v>30</v>
      </c>
      <c r="Q35" s="144">
        <v>8.8999999999999996E-2</v>
      </c>
      <c r="R35" s="144">
        <f>(Q35-0.0102)/0.0007</f>
        <v>112.57142857142857</v>
      </c>
      <c r="S35" s="144">
        <f>((300-R35)/300)*100</f>
        <v>62.476190476190482</v>
      </c>
      <c r="T35" s="144">
        <f>AVERAGE(S35:S37)</f>
        <v>64.063492063492063</v>
      </c>
      <c r="U35" s="144">
        <f>_xlfn.STDEV.S(S35:S37)</f>
        <v>1.4547859349066108</v>
      </c>
      <c r="V35" s="144">
        <f>AVERAGE(R35:R37)</f>
        <v>107.80952380952381</v>
      </c>
      <c r="W35" s="144">
        <f>((300-R35)/1)*0.05</f>
        <v>9.3714285714285719</v>
      </c>
      <c r="X35" s="144">
        <f>AVERAGE(W35:W37)</f>
        <v>9.6095238095238109</v>
      </c>
      <c r="Y35" s="176">
        <f>_xlfn.STDEV.S(W35:W37)</f>
        <v>0.21821789023599256</v>
      </c>
      <c r="AA35" s="163"/>
      <c r="AB35" s="163"/>
      <c r="AD35" s="2" t="s">
        <v>6</v>
      </c>
      <c r="AE35" s="141">
        <v>30</v>
      </c>
      <c r="AF35" s="141">
        <v>4.7E-2</v>
      </c>
      <c r="AG35" s="141">
        <f>(AF35-0.0102)/0.0007</f>
        <v>52.571428571428569</v>
      </c>
      <c r="AH35" s="141">
        <f>((150-AG35)/150)*100</f>
        <v>64.952380952380949</v>
      </c>
      <c r="AI35" s="141">
        <f>AVERAGE(AH35:AH37)</f>
        <v>65.904761904761912</v>
      </c>
      <c r="AJ35" s="141">
        <f>_xlfn.STDEV.S(AH35:AH37)</f>
        <v>0.9523809523809561</v>
      </c>
      <c r="AK35" s="141">
        <f>AVERAGE(AG35:AG37)</f>
        <v>51.142857142857139</v>
      </c>
      <c r="AL35" s="141">
        <f>((150-AG35)/1)*0.05</f>
        <v>4.8714285714285719</v>
      </c>
      <c r="AM35" s="190">
        <f>AVERAGE(AL35:AL37)</f>
        <v>4.9428571428571431</v>
      </c>
      <c r="AN35" s="178">
        <f>_xlfn.STDEV.S(AL35:AL37)</f>
        <v>7.1428571428571619E-2</v>
      </c>
      <c r="AQ35" s="143" t="s">
        <v>6</v>
      </c>
      <c r="AR35" s="144">
        <v>30</v>
      </c>
      <c r="AS35" s="144">
        <v>0.106</v>
      </c>
      <c r="AT35" s="144">
        <f>(AS35-0.0102)/0.0007</f>
        <v>136.85714285714286</v>
      </c>
      <c r="AU35" s="144">
        <f>((300-AT35)/300)*100</f>
        <v>54.380952380952372</v>
      </c>
      <c r="AV35" s="144">
        <f>AVERAGE(AU35:AU37)</f>
        <v>55.333333333333336</v>
      </c>
      <c r="AW35" s="144">
        <f>_xlfn.STDEV.S(AU35:AU37)</f>
        <v>1.259881576697425</v>
      </c>
      <c r="AX35" s="144">
        <f>AVERAGE(AT35:AT37)</f>
        <v>134</v>
      </c>
      <c r="AY35" s="144">
        <f>((300-AT35)/1)*0.05</f>
        <v>8.1571428571428566</v>
      </c>
      <c r="AZ35" s="184">
        <f>AVERAGE(AY35:AY37)</f>
        <v>8.2999999999999989</v>
      </c>
      <c r="BA35" s="176">
        <f>_xlfn.STDEV.S(AY35:AY37)</f>
        <v>0.1889822365046136</v>
      </c>
    </row>
    <row r="36" spans="3:53" ht="18" x14ac:dyDescent="0.35">
      <c r="C36" s="2" t="s">
        <v>19</v>
      </c>
      <c r="D36" s="141"/>
      <c r="E36" s="141">
        <v>4.3999999999999997E-2</v>
      </c>
      <c r="F36" s="141">
        <f t="shared" ref="F36:F37" si="12">(E36-0.0102)/0.0007</f>
        <v>48.285714285714285</v>
      </c>
      <c r="G36" s="141">
        <f t="shared" ref="G36:G37" si="13">((150-F36)/150)*100</f>
        <v>67.809523809523824</v>
      </c>
      <c r="H36" s="141"/>
      <c r="I36" s="141"/>
      <c r="J36" s="141"/>
      <c r="K36" s="141">
        <f>((150-F36)/1)*0.05</f>
        <v>5.0857142857142863</v>
      </c>
      <c r="L36" s="141"/>
      <c r="M36" s="142"/>
      <c r="O36" s="143" t="s">
        <v>19</v>
      </c>
      <c r="P36" s="144"/>
      <c r="Q36" s="144">
        <v>8.5000000000000006E-2</v>
      </c>
      <c r="R36" s="144">
        <f t="shared" ref="R36:R37" si="14">(Q36-0.0102)/0.0007</f>
        <v>106.85714285714286</v>
      </c>
      <c r="S36" s="144">
        <f>((300-R36)/300)*100</f>
        <v>64.38095238095238</v>
      </c>
      <c r="T36" s="144"/>
      <c r="U36" s="144"/>
      <c r="V36" s="144"/>
      <c r="W36" s="144">
        <f>((300-R36)/1)*0.05</f>
        <v>9.6571428571428584</v>
      </c>
      <c r="X36" s="144"/>
      <c r="Y36" s="145"/>
      <c r="AA36" s="163"/>
      <c r="AB36" s="163"/>
      <c r="AD36" s="2" t="s">
        <v>19</v>
      </c>
      <c r="AE36" s="141"/>
      <c r="AF36" s="141">
        <v>4.4999999999999998E-2</v>
      </c>
      <c r="AG36" s="141">
        <f t="shared" ref="AG36:AG37" si="15">(AF36-0.0102)/0.0007</f>
        <v>49.714285714285708</v>
      </c>
      <c r="AH36" s="141">
        <f t="shared" ref="AH36:AH37" si="16">((150-AG36)/150)*100</f>
        <v>66.857142857142861</v>
      </c>
      <c r="AI36" s="141"/>
      <c r="AJ36" s="141"/>
      <c r="AK36" s="141"/>
      <c r="AL36" s="141">
        <f>((150-AG36)/1)*0.05</f>
        <v>5.0142857142857151</v>
      </c>
      <c r="AM36" s="141"/>
      <c r="AN36" s="178"/>
      <c r="AQ36" s="143" t="s">
        <v>19</v>
      </c>
      <c r="AR36" s="144"/>
      <c r="AS36" s="144">
        <v>0.105</v>
      </c>
      <c r="AT36" s="144">
        <f t="shared" ref="AT36:AT37" si="17">(AS36-0.0102)/0.0007</f>
        <v>135.42857142857142</v>
      </c>
      <c r="AU36" s="144">
        <f>((300-AT36)/300)*100</f>
        <v>54.857142857142861</v>
      </c>
      <c r="AV36" s="144"/>
      <c r="AW36" s="144"/>
      <c r="AX36" s="144"/>
      <c r="AY36" s="144">
        <f>((300-AT36)/1)*0.05</f>
        <v>8.2285714285714295</v>
      </c>
      <c r="AZ36" s="144"/>
      <c r="BA36" s="176"/>
    </row>
    <row r="37" spans="3:53" x14ac:dyDescent="0.25">
      <c r="C37" s="2"/>
      <c r="D37" s="146"/>
      <c r="E37" s="146">
        <v>4.2000000000000003E-2</v>
      </c>
      <c r="F37" s="146">
        <f t="shared" si="12"/>
        <v>45.428571428571431</v>
      </c>
      <c r="G37" s="146">
        <f t="shared" si="13"/>
        <v>69.714285714285722</v>
      </c>
      <c r="H37" s="146"/>
      <c r="I37" s="146"/>
      <c r="J37" s="146"/>
      <c r="K37" s="141">
        <f>((150-F37)/1)*0.05</f>
        <v>5.2285714285714286</v>
      </c>
      <c r="L37" s="141"/>
      <c r="M37" s="142"/>
      <c r="O37" s="143"/>
      <c r="P37" s="148"/>
      <c r="Q37" s="148">
        <v>8.3000000000000004E-2</v>
      </c>
      <c r="R37" s="148">
        <f t="shared" si="14"/>
        <v>104</v>
      </c>
      <c r="S37" s="148">
        <f>((300-R37)/300)*100</f>
        <v>65.333333333333329</v>
      </c>
      <c r="T37" s="148"/>
      <c r="U37" s="148"/>
      <c r="V37" s="148"/>
      <c r="W37" s="144">
        <f>((300-R37)/1)*0.05</f>
        <v>9.8000000000000007</v>
      </c>
      <c r="X37" s="144"/>
      <c r="Y37" s="145"/>
      <c r="AA37" s="163"/>
      <c r="AB37" s="163"/>
      <c r="AD37" s="2"/>
      <c r="AE37" s="146"/>
      <c r="AF37" s="146">
        <v>4.5999999999999999E-2</v>
      </c>
      <c r="AG37" s="146">
        <f t="shared" si="15"/>
        <v>51.142857142857139</v>
      </c>
      <c r="AH37" s="146">
        <f t="shared" si="16"/>
        <v>65.904761904761912</v>
      </c>
      <c r="AI37" s="146"/>
      <c r="AJ37" s="146"/>
      <c r="AK37" s="146"/>
      <c r="AL37" s="141">
        <f>((150-AG37)/1)*0.05</f>
        <v>4.9428571428571431</v>
      </c>
      <c r="AM37" s="141"/>
      <c r="AN37" s="178"/>
      <c r="AQ37" s="143"/>
      <c r="AR37" s="148"/>
      <c r="AS37" s="148">
        <v>0.10100000000000001</v>
      </c>
      <c r="AT37" s="148">
        <f t="shared" si="17"/>
        <v>129.71428571428572</v>
      </c>
      <c r="AU37" s="148">
        <f>((300-AT37)/300)*100</f>
        <v>56.761904761904759</v>
      </c>
      <c r="AV37" s="148"/>
      <c r="AW37" s="148"/>
      <c r="AX37" s="148"/>
      <c r="AY37" s="144">
        <f>((300-AT37)/1)*0.05</f>
        <v>8.5142857142857142</v>
      </c>
      <c r="AZ37" s="144"/>
      <c r="BA37" s="176"/>
    </row>
    <row r="38" spans="3:53" x14ac:dyDescent="0.25">
      <c r="C38" s="2"/>
      <c r="D38" s="141"/>
      <c r="E38" s="141"/>
      <c r="F38" s="141"/>
      <c r="G38" s="141"/>
      <c r="H38" s="141"/>
      <c r="I38" s="141"/>
      <c r="J38" s="141"/>
      <c r="K38" s="141"/>
      <c r="L38" s="174"/>
      <c r="M38" s="142"/>
      <c r="O38" s="143"/>
      <c r="P38" s="184"/>
      <c r="Q38" s="184"/>
      <c r="R38" s="184"/>
      <c r="S38" s="144"/>
      <c r="T38" s="144"/>
      <c r="U38" s="144"/>
      <c r="V38" s="144"/>
      <c r="W38" s="144"/>
      <c r="X38" s="177"/>
      <c r="Y38" s="145"/>
      <c r="AA38" s="163"/>
      <c r="AB38" s="163"/>
      <c r="AD38" s="2"/>
      <c r="AE38" s="141"/>
      <c r="AF38" s="141"/>
      <c r="AG38" s="141"/>
      <c r="AH38" s="141"/>
      <c r="AI38" s="141"/>
      <c r="AJ38" s="141"/>
      <c r="AK38" s="141"/>
      <c r="AL38" s="141"/>
      <c r="AM38" s="174"/>
      <c r="AN38" s="178"/>
      <c r="AQ38" s="183"/>
      <c r="AR38" s="144"/>
      <c r="AS38" s="144"/>
      <c r="AT38" s="144"/>
      <c r="AU38" s="144"/>
      <c r="AV38" s="144"/>
      <c r="AW38" s="144"/>
      <c r="AX38" s="144"/>
      <c r="AY38" s="144"/>
      <c r="AZ38" s="177"/>
      <c r="BA38" s="176"/>
    </row>
    <row r="39" spans="3:53" x14ac:dyDescent="0.25">
      <c r="C39" s="2"/>
      <c r="D39" s="141">
        <v>40</v>
      </c>
      <c r="E39" s="141">
        <v>3.5000000000000003E-2</v>
      </c>
      <c r="F39" s="141">
        <f>(E39-0.0102)/0.0007</f>
        <v>35.428571428571431</v>
      </c>
      <c r="G39" s="141">
        <f>((150-F39)/150)*100</f>
        <v>76.38095238095238</v>
      </c>
      <c r="H39" s="141">
        <f>AVERAGE(G39:G41)</f>
        <v>77.968253968253975</v>
      </c>
      <c r="I39" s="141">
        <f>_xlfn.STDEV.S(G39:G41)</f>
        <v>1.4547859349066183</v>
      </c>
      <c r="J39" s="141">
        <f>AVERAGE(F39:F41)</f>
        <v>33.047619047619044</v>
      </c>
      <c r="K39" s="141">
        <f>((150-F39)/1)*0.05</f>
        <v>5.7285714285714286</v>
      </c>
      <c r="L39" s="141">
        <f>AVERAGE(K39:K41)</f>
        <v>5.8476190476190482</v>
      </c>
      <c r="M39" s="175">
        <f>_xlfn.STDEV.S(K39:K41)</f>
        <v>0.10910894511799628</v>
      </c>
      <c r="O39" s="143"/>
      <c r="P39" s="144">
        <v>40</v>
      </c>
      <c r="Q39" s="144">
        <v>0.08</v>
      </c>
      <c r="R39" s="144">
        <f>(Q39-0.0102)/0.0007</f>
        <v>99.714285714285722</v>
      </c>
      <c r="S39" s="144">
        <f>((300-R39)/300)*100</f>
        <v>66.761904761904759</v>
      </c>
      <c r="T39" s="144">
        <f>AVERAGE(S39:S41)</f>
        <v>68.349206349206355</v>
      </c>
      <c r="U39" s="144">
        <f>_xlfn.STDEV.S(S39:S41)</f>
        <v>1.4547859349066183</v>
      </c>
      <c r="V39" s="144">
        <f>AVERAGE(R39:R41)</f>
        <v>94.952380952380963</v>
      </c>
      <c r="W39" s="144">
        <f>((300-R39)/1)*0.05</f>
        <v>10.014285714285714</v>
      </c>
      <c r="X39" s="144">
        <f>AVERAGE(W39:W41)</f>
        <v>10.252380952380953</v>
      </c>
      <c r="Y39" s="176">
        <f>_xlfn.STDEV.S(W39:W41)</f>
        <v>0.21821789023599256</v>
      </c>
      <c r="AA39" s="163"/>
      <c r="AB39" s="163"/>
      <c r="AD39" s="2"/>
      <c r="AE39" s="141">
        <v>40</v>
      </c>
      <c r="AF39" s="141">
        <v>3.6999999999999998E-2</v>
      </c>
      <c r="AG39" s="141">
        <f>(AF39-0.0102)/0.0007</f>
        <v>38.285714285714285</v>
      </c>
      <c r="AH39" s="141">
        <f>((150-AG39)/150)*100</f>
        <v>74.476190476190482</v>
      </c>
      <c r="AI39" s="141">
        <f>AVERAGE(AH39:AH41)</f>
        <v>73.523809523809518</v>
      </c>
      <c r="AJ39" s="141">
        <f>_xlfn.STDEV.S(AH39:AH41)</f>
        <v>0.9523809523809561</v>
      </c>
      <c r="AK39" s="141">
        <f>AVERAGE(AG39:AG41)</f>
        <v>39.714285714285715</v>
      </c>
      <c r="AL39" s="141">
        <f>((150-AG39)/1)*0.05</f>
        <v>5.5857142857142863</v>
      </c>
      <c r="AM39" s="141">
        <f>AVERAGE(AL39:AL41)</f>
        <v>5.5142857142857151</v>
      </c>
      <c r="AN39" s="178">
        <f>_xlfn.STDEV.S(AL39:AL41)</f>
        <v>7.1428571428571619E-2</v>
      </c>
      <c r="AQ39" s="183"/>
      <c r="AR39" s="144">
        <v>40</v>
      </c>
      <c r="AS39" s="144">
        <v>9.8000000000000004E-2</v>
      </c>
      <c r="AT39" s="144">
        <f>(AS39-0.0102)/0.0007</f>
        <v>125.42857142857143</v>
      </c>
      <c r="AU39" s="144">
        <f>((300-AT39)/300)*100</f>
        <v>58.190476190476183</v>
      </c>
      <c r="AV39" s="144">
        <f>AVERAGE(AU39:AU41)</f>
        <v>59.460317460317462</v>
      </c>
      <c r="AW39" s="144">
        <f>_xlfn.STDEV.S(AU39:AU41)</f>
        <v>1.1983864182969506</v>
      </c>
      <c r="AX39" s="144">
        <f>AVERAGE(AT39:AT41)</f>
        <v>121.61904761904763</v>
      </c>
      <c r="AY39" s="144">
        <f>((300-AT39)/1)*0.05</f>
        <v>8.7285714285714278</v>
      </c>
      <c r="AZ39" s="144">
        <f>AVERAGE(AY39:AY41)</f>
        <v>8.9190476190476193</v>
      </c>
      <c r="BA39" s="176">
        <f>_xlfn.STDEV.S(AY39:AY41)</f>
        <v>0.17975796274454278</v>
      </c>
    </row>
    <row r="40" spans="3:53" x14ac:dyDescent="0.25">
      <c r="C40" s="2"/>
      <c r="D40" s="141"/>
      <c r="E40" s="141">
        <v>3.2000000000000001E-2</v>
      </c>
      <c r="F40" s="141">
        <f>(E40-0.0102)/0.0007</f>
        <v>31.142857142857142</v>
      </c>
      <c r="G40" s="141">
        <f t="shared" ref="G40:G41" si="18">((150-F40)/150)*100</f>
        <v>79.238095238095241</v>
      </c>
      <c r="H40" s="141"/>
      <c r="I40" s="141"/>
      <c r="J40" s="141"/>
      <c r="K40" s="141">
        <f>((150-F40)/1)*0.05</f>
        <v>5.9428571428571431</v>
      </c>
      <c r="L40" s="141"/>
      <c r="M40" s="142"/>
      <c r="O40" s="143"/>
      <c r="P40" s="144"/>
      <c r="Q40" s="144">
        <v>7.5999999999999998E-2</v>
      </c>
      <c r="R40" s="144">
        <f t="shared" ref="R40:R41" si="19">(Q40-0.0102)/0.0007</f>
        <v>94</v>
      </c>
      <c r="S40" s="144">
        <f>((300-R40)/300)*100</f>
        <v>68.666666666666671</v>
      </c>
      <c r="T40" s="144"/>
      <c r="U40" s="144"/>
      <c r="V40" s="144"/>
      <c r="W40" s="144">
        <f>((300-R40)/1)*0.05</f>
        <v>10.3</v>
      </c>
      <c r="X40" s="144"/>
      <c r="Y40" s="145"/>
      <c r="AA40" s="163"/>
      <c r="AB40" s="163"/>
      <c r="AD40" s="2"/>
      <c r="AE40" s="141"/>
      <c r="AF40" s="141">
        <v>3.7999999999999999E-2</v>
      </c>
      <c r="AG40" s="141">
        <f t="shared" ref="AG40:AG41" si="20">(AF40-0.0102)/0.0007</f>
        <v>39.714285714285715</v>
      </c>
      <c r="AH40" s="141">
        <f t="shared" ref="AH40:AH41" si="21">((150-AG40)/150)*100</f>
        <v>73.523809523809518</v>
      </c>
      <c r="AI40" s="141"/>
      <c r="AJ40" s="141"/>
      <c r="AK40" s="141"/>
      <c r="AL40" s="141">
        <f>((150-AG40)/1)*0.05</f>
        <v>5.5142857142857142</v>
      </c>
      <c r="AM40" s="141"/>
      <c r="AN40" s="178"/>
      <c r="AQ40" s="183"/>
      <c r="AR40" s="144"/>
      <c r="AS40" s="144">
        <v>9.2999999999999999E-2</v>
      </c>
      <c r="AT40" s="144">
        <f t="shared" ref="AT40:AT41" si="22">(AS40-0.0102)/0.0007</f>
        <v>118.28571428571429</v>
      </c>
      <c r="AU40" s="144">
        <f>((300-AT40)/300)*100</f>
        <v>60.571428571428577</v>
      </c>
      <c r="AV40" s="144"/>
      <c r="AW40" s="144"/>
      <c r="AX40" s="144"/>
      <c r="AY40" s="144">
        <f>((300-AT40)/1)*0.05</f>
        <v>9.0857142857142872</v>
      </c>
      <c r="AZ40" s="144"/>
      <c r="BA40" s="176"/>
    </row>
    <row r="41" spans="3:53" x14ac:dyDescent="0.25">
      <c r="C41" s="2"/>
      <c r="D41" s="146"/>
      <c r="E41" s="146">
        <v>3.3000000000000002E-2</v>
      </c>
      <c r="F41" s="146">
        <f>(E41-0.0102)/0.0007</f>
        <v>32.571428571428569</v>
      </c>
      <c r="G41" s="146">
        <f t="shared" si="18"/>
        <v>78.285714285714292</v>
      </c>
      <c r="H41" s="146"/>
      <c r="I41" s="146"/>
      <c r="J41" s="146"/>
      <c r="K41" s="141">
        <f>((150-F41)/1)*0.05</f>
        <v>5.8714285714285719</v>
      </c>
      <c r="L41" s="141"/>
      <c r="M41" s="142"/>
      <c r="O41" s="143"/>
      <c r="P41" s="148"/>
      <c r="Q41" s="148">
        <v>7.3999999999999996E-2</v>
      </c>
      <c r="R41" s="148">
        <f t="shared" si="19"/>
        <v>91.142857142857139</v>
      </c>
      <c r="S41" s="148">
        <f>((300-R41)/300)*100</f>
        <v>69.61904761904762</v>
      </c>
      <c r="T41" s="148"/>
      <c r="U41" s="148"/>
      <c r="V41" s="148"/>
      <c r="W41" s="144">
        <f>((300-R41)/1)*0.05</f>
        <v>10.442857142857143</v>
      </c>
      <c r="X41" s="144"/>
      <c r="Y41" s="145"/>
      <c r="AA41" s="163"/>
      <c r="AB41" s="163"/>
      <c r="AD41" s="2"/>
      <c r="AE41" s="146"/>
      <c r="AF41" s="146">
        <v>3.9E-2</v>
      </c>
      <c r="AG41" s="146">
        <f t="shared" si="20"/>
        <v>41.142857142857139</v>
      </c>
      <c r="AH41" s="146">
        <f t="shared" si="21"/>
        <v>72.571428571428569</v>
      </c>
      <c r="AI41" s="146"/>
      <c r="AJ41" s="146"/>
      <c r="AK41" s="146"/>
      <c r="AL41" s="141">
        <f>((150-AG41)/1)*0.05</f>
        <v>5.4428571428571431</v>
      </c>
      <c r="AM41" s="141"/>
      <c r="AN41" s="178"/>
      <c r="AQ41" s="143"/>
      <c r="AR41" s="148"/>
      <c r="AS41" s="148">
        <v>9.5000000000000001E-2</v>
      </c>
      <c r="AT41" s="148">
        <f t="shared" si="22"/>
        <v>121.14285714285714</v>
      </c>
      <c r="AU41" s="148">
        <f>((300-AT41)/300)*100</f>
        <v>59.619047619047613</v>
      </c>
      <c r="AV41" s="148"/>
      <c r="AW41" s="148"/>
      <c r="AX41" s="148"/>
      <c r="AY41" s="144">
        <f>((300-AT41)/1)*0.05</f>
        <v>8.9428571428571431</v>
      </c>
      <c r="AZ41" s="144"/>
      <c r="BA41" s="176"/>
    </row>
    <row r="42" spans="3:53" x14ac:dyDescent="0.25">
      <c r="C42" s="2"/>
      <c r="D42" s="141"/>
      <c r="E42" s="141"/>
      <c r="F42" s="141"/>
      <c r="G42" s="141"/>
      <c r="H42" s="141"/>
      <c r="I42" s="141"/>
      <c r="J42" s="141"/>
      <c r="K42" s="141"/>
      <c r="L42" s="174"/>
      <c r="M42" s="142"/>
      <c r="O42" s="143"/>
      <c r="P42" s="144"/>
      <c r="Q42" s="144"/>
      <c r="R42" s="144"/>
      <c r="S42" s="144"/>
      <c r="T42" s="144"/>
      <c r="U42" s="144"/>
      <c r="V42" s="144"/>
      <c r="W42" s="144"/>
      <c r="X42" s="177"/>
      <c r="Y42" s="145"/>
      <c r="AA42" s="163"/>
      <c r="AB42" s="163"/>
      <c r="AD42" s="2"/>
      <c r="AE42" s="141"/>
      <c r="AF42" s="141"/>
      <c r="AG42" s="141"/>
      <c r="AH42" s="141"/>
      <c r="AI42" s="141"/>
      <c r="AJ42" s="141"/>
      <c r="AK42" s="141"/>
      <c r="AL42" s="141"/>
      <c r="AM42" s="174"/>
      <c r="AN42" s="178"/>
      <c r="AQ42" s="143"/>
      <c r="AR42" s="144"/>
      <c r="AS42" s="144"/>
      <c r="AT42" s="144"/>
      <c r="AU42" s="144"/>
      <c r="AV42" s="144"/>
      <c r="AW42" s="144"/>
      <c r="AX42" s="144"/>
      <c r="AY42" s="144"/>
      <c r="AZ42" s="177"/>
      <c r="BA42" s="176"/>
    </row>
    <row r="43" spans="3:53" x14ac:dyDescent="0.25">
      <c r="C43" s="2"/>
      <c r="D43" s="141">
        <v>50</v>
      </c>
      <c r="E43" s="141">
        <v>2.5999999999999999E-2</v>
      </c>
      <c r="F43" s="141">
        <f>(E43-0.0102)/0.0007</f>
        <v>22.571428571428569</v>
      </c>
      <c r="G43" s="141">
        <f>((150-F43)/150)*100</f>
        <v>84.952380952380963</v>
      </c>
      <c r="H43" s="141">
        <f>AVERAGE(G43:G45)</f>
        <v>83.682539682539684</v>
      </c>
      <c r="I43" s="141">
        <f>_xlfn.STDEV.S(G43:G45)</f>
        <v>1.4547859349066248</v>
      </c>
      <c r="J43" s="141">
        <f>AVERAGE(F43:F45)</f>
        <v>24.476190476190478</v>
      </c>
      <c r="K43" s="141">
        <f>((150-F43)/1)*0.05</f>
        <v>6.3714285714285719</v>
      </c>
      <c r="L43" s="141">
        <f>AVERAGE(K43:K45)</f>
        <v>6.2761904761904761</v>
      </c>
      <c r="M43" s="175">
        <f>_xlfn.STDEV.S(K43:K45)</f>
        <v>0.10910894511799628</v>
      </c>
      <c r="O43" s="143"/>
      <c r="P43" s="144">
        <v>50</v>
      </c>
      <c r="Q43" s="144">
        <v>6.5000000000000002E-2</v>
      </c>
      <c r="R43" s="144">
        <f>(Q43-0.0102)/0.0007</f>
        <v>78.285714285714292</v>
      </c>
      <c r="S43" s="144">
        <f>((300-R43)/300)*100</f>
        <v>73.904761904761912</v>
      </c>
      <c r="T43" s="144">
        <f>AVERAGE(S43:S45)</f>
        <v>73.746031746031747</v>
      </c>
      <c r="U43" s="144">
        <f>_xlfn.STDEV.S(S43:S45)</f>
        <v>1.1983864182969515</v>
      </c>
      <c r="V43" s="144">
        <f>AVERAGE(R43:R45)</f>
        <v>78.761904761904773</v>
      </c>
      <c r="W43" s="144">
        <f>((300-R43)/1)*0.05</f>
        <v>11.085714285714287</v>
      </c>
      <c r="X43" s="144">
        <f>AVERAGE(W43:W45)</f>
        <v>11.061904761904763</v>
      </c>
      <c r="Y43" s="176">
        <f>_xlfn.STDEV.S(W43:W45)</f>
        <v>0.17975796274454114</v>
      </c>
      <c r="AA43" s="163"/>
      <c r="AB43" s="163"/>
      <c r="AD43" s="2"/>
      <c r="AE43" s="141">
        <v>50</v>
      </c>
      <c r="AF43" s="141">
        <v>3.5000000000000003E-2</v>
      </c>
      <c r="AG43" s="141">
        <f>(AF43-0.0102)/0.0007</f>
        <v>35.428571428571431</v>
      </c>
      <c r="AH43" s="141">
        <f>((150-AG43)/150)*100</f>
        <v>76.38095238095238</v>
      </c>
      <c r="AI43" s="141">
        <f>AVERAGE(AH43:AH45)</f>
        <v>77.968253968253975</v>
      </c>
      <c r="AJ43" s="141">
        <f>_xlfn.STDEV.S(AH43:AH45)</f>
        <v>1.4547859349066183</v>
      </c>
      <c r="AK43" s="141">
        <f>AVERAGE(AG43:AG45)</f>
        <v>33.047619047619044</v>
      </c>
      <c r="AL43" s="141">
        <f>((150-AG43)/1)*0.05</f>
        <v>5.7285714285714286</v>
      </c>
      <c r="AM43" s="141">
        <f>AVERAGE(AL43:AL45)</f>
        <v>5.8476190476190482</v>
      </c>
      <c r="AN43" s="178">
        <f>_xlfn.STDEV.S(AL43:AL45)</f>
        <v>0.10910894511799628</v>
      </c>
      <c r="AQ43" s="143"/>
      <c r="AR43" s="144">
        <v>50</v>
      </c>
      <c r="AS43" s="144">
        <v>8.5999999999999993E-2</v>
      </c>
      <c r="AT43" s="144">
        <f>(AS43-0.0102)/0.0007</f>
        <v>108.28571428571428</v>
      </c>
      <c r="AU43" s="144">
        <f>((300-AT43)/300)*100</f>
        <v>63.904761904761912</v>
      </c>
      <c r="AV43" s="144">
        <f>AVERAGE(AU43:AU45)</f>
        <v>63.587301587301589</v>
      </c>
      <c r="AW43" s="144">
        <f>_xlfn.STDEV.S(AU43:AU45)</f>
        <v>0.99126952355529896</v>
      </c>
      <c r="AX43" s="144">
        <f>AVERAGE(AT43:AT45)</f>
        <v>109.23809523809524</v>
      </c>
      <c r="AY43" s="144">
        <f>((300-AT43)/1)*0.05</f>
        <v>9.5857142857142872</v>
      </c>
      <c r="AZ43" s="144">
        <f>AVERAGE(AY43:AY45)</f>
        <v>9.5380952380952397</v>
      </c>
      <c r="BA43" s="176">
        <f>_xlfn.STDEV.S(AY43:AY45)</f>
        <v>0.14869042853329567</v>
      </c>
    </row>
    <row r="44" spans="3:53" x14ac:dyDescent="0.25">
      <c r="C44" s="2"/>
      <c r="D44" s="141"/>
      <c r="E44" s="141">
        <v>2.7E-2</v>
      </c>
      <c r="F44" s="141">
        <f>(E44-0.0102)/0.0007</f>
        <v>24</v>
      </c>
      <c r="G44" s="141">
        <f t="shared" ref="G44:G45" si="23">((150-F44)/150)*100</f>
        <v>84</v>
      </c>
      <c r="H44" s="141"/>
      <c r="I44" s="141"/>
      <c r="J44" s="141"/>
      <c r="K44" s="141">
        <f>((150-F44)/1)*0.05</f>
        <v>6.3000000000000007</v>
      </c>
      <c r="L44" s="141"/>
      <c r="M44" s="142"/>
      <c r="O44" s="143"/>
      <c r="P44" s="144"/>
      <c r="Q44" s="144">
        <v>6.3E-2</v>
      </c>
      <c r="R44" s="144">
        <f t="shared" ref="R44:R45" si="24">(Q44-0.0102)/0.0007</f>
        <v>75.428571428571431</v>
      </c>
      <c r="S44" s="144">
        <f>((300-R44)/300)*100</f>
        <v>74.857142857142861</v>
      </c>
      <c r="T44" s="144"/>
      <c r="U44" s="144"/>
      <c r="V44" s="144"/>
      <c r="W44" s="144">
        <f>((300-R44)/1)*0.05</f>
        <v>11.228571428571428</v>
      </c>
      <c r="X44" s="144"/>
      <c r="Y44" s="145"/>
      <c r="AA44" s="163"/>
      <c r="AB44" s="163"/>
      <c r="AD44" s="2"/>
      <c r="AE44" s="141"/>
      <c r="AF44" s="141">
        <v>3.2000000000000001E-2</v>
      </c>
      <c r="AG44" s="141">
        <f t="shared" ref="AG44:AG45" si="25">(AF44-0.0102)/0.0007</f>
        <v>31.142857142857142</v>
      </c>
      <c r="AH44" s="141">
        <f t="shared" ref="AH44:AH45" si="26">((150-AG44)/150)*100</f>
        <v>79.238095238095241</v>
      </c>
      <c r="AI44" s="141"/>
      <c r="AJ44" s="141"/>
      <c r="AK44" s="141"/>
      <c r="AL44" s="141">
        <f>((150-AG44)/1)*0.05</f>
        <v>5.9428571428571431</v>
      </c>
      <c r="AM44" s="141"/>
      <c r="AN44" s="178"/>
      <c r="AQ44" s="143"/>
      <c r="AR44" s="144"/>
      <c r="AS44" s="144">
        <v>8.5000000000000006E-2</v>
      </c>
      <c r="AT44" s="144">
        <f t="shared" ref="AT44:AT45" si="27">(AS44-0.0102)/0.0007</f>
        <v>106.85714285714286</v>
      </c>
      <c r="AU44" s="144">
        <f>((300-AT44)/300)*100</f>
        <v>64.38095238095238</v>
      </c>
      <c r="AV44" s="144"/>
      <c r="AW44" s="144"/>
      <c r="AX44" s="144"/>
      <c r="AY44" s="144">
        <f>((300-AT44)/1)*0.05</f>
        <v>9.6571428571428584</v>
      </c>
      <c r="AZ44" s="144"/>
      <c r="BA44" s="176"/>
    </row>
    <row r="45" spans="3:53" x14ac:dyDescent="0.25">
      <c r="C45" s="5"/>
      <c r="D45" s="146"/>
      <c r="E45" s="146">
        <v>2.9000000000000001E-2</v>
      </c>
      <c r="F45" s="146">
        <f>(E45-0.0102)/0.0007</f>
        <v>26.857142857142858</v>
      </c>
      <c r="G45" s="146">
        <f t="shared" si="23"/>
        <v>82.095238095238088</v>
      </c>
      <c r="H45" s="141"/>
      <c r="I45" s="141"/>
      <c r="J45" s="146"/>
      <c r="K45" s="146">
        <f>((150-F45)/1)*0.05</f>
        <v>6.1571428571428575</v>
      </c>
      <c r="L45" s="146"/>
      <c r="M45" s="147"/>
      <c r="O45" s="143"/>
      <c r="P45" s="148"/>
      <c r="Q45" s="148">
        <v>6.8000000000000005E-2</v>
      </c>
      <c r="R45" s="148">
        <f t="shared" si="24"/>
        <v>82.571428571428584</v>
      </c>
      <c r="S45" s="148">
        <f>((300-R45)/300)*100</f>
        <v>72.476190476190467</v>
      </c>
      <c r="T45" s="144"/>
      <c r="U45" s="144"/>
      <c r="V45" s="148"/>
      <c r="W45" s="148">
        <f>((300-R45)/1)*0.05</f>
        <v>10.871428571428572</v>
      </c>
      <c r="X45" s="148"/>
      <c r="Y45" s="149"/>
      <c r="AA45" s="163"/>
      <c r="AB45" s="163"/>
      <c r="AD45" s="2"/>
      <c r="AE45" s="141"/>
      <c r="AF45" s="141">
        <v>3.3000000000000002E-2</v>
      </c>
      <c r="AG45" s="141">
        <f t="shared" si="25"/>
        <v>32.571428571428569</v>
      </c>
      <c r="AH45" s="141">
        <f t="shared" si="26"/>
        <v>78.285714285714292</v>
      </c>
      <c r="AI45" s="141"/>
      <c r="AJ45" s="141"/>
      <c r="AK45" s="146"/>
      <c r="AL45" s="141">
        <f>((150-AG45)/1)*0.05</f>
        <v>5.8714285714285719</v>
      </c>
      <c r="AM45" s="146"/>
      <c r="AN45" s="191"/>
      <c r="AQ45" s="143"/>
      <c r="AR45" s="148"/>
      <c r="AS45" s="148">
        <v>8.8999999999999996E-2</v>
      </c>
      <c r="AT45" s="148">
        <f t="shared" si="27"/>
        <v>112.57142857142857</v>
      </c>
      <c r="AU45" s="144">
        <f>((300-AT45)/300)*100</f>
        <v>62.476190476190482</v>
      </c>
      <c r="AV45" s="144"/>
      <c r="AW45" s="148"/>
      <c r="AX45" s="148"/>
      <c r="AY45" s="148">
        <f>((300-AT45)/1)*0.05</f>
        <v>9.3714285714285719</v>
      </c>
      <c r="AZ45" s="148"/>
      <c r="BA45" s="192"/>
    </row>
    <row r="46" spans="3:53" x14ac:dyDescent="0.25">
      <c r="F46" s="150"/>
      <c r="G46" s="21"/>
      <c r="H46" s="151"/>
      <c r="I46" s="151"/>
      <c r="J46" s="151"/>
      <c r="K46" s="21"/>
      <c r="L46" s="21"/>
      <c r="M46" s="21"/>
      <c r="O46" s="150"/>
      <c r="P46" s="21"/>
      <c r="Q46" s="21"/>
      <c r="R46" s="21"/>
      <c r="S46" s="151"/>
      <c r="T46" s="151"/>
      <c r="U46" s="151"/>
      <c r="V46" s="151"/>
      <c r="AA46" s="163"/>
      <c r="AB46" s="163"/>
      <c r="AD46" s="150"/>
      <c r="AE46" s="151"/>
      <c r="AF46" s="151"/>
      <c r="AG46" s="151"/>
      <c r="AH46" s="151"/>
      <c r="AI46" s="151"/>
      <c r="AJ46" s="151"/>
      <c r="AK46" s="151"/>
      <c r="AL46" s="151"/>
      <c r="AM46" s="21"/>
      <c r="AQ46" s="150"/>
      <c r="AR46" s="21"/>
      <c r="AS46" s="21"/>
      <c r="AT46" s="21"/>
      <c r="AU46" s="151"/>
      <c r="AV46" s="151"/>
      <c r="AW46" s="21"/>
      <c r="AX46" s="21"/>
    </row>
    <row r="47" spans="3:53" x14ac:dyDescent="0.25">
      <c r="F47" s="18"/>
      <c r="G47" s="21"/>
      <c r="H47" s="21"/>
      <c r="I47" s="21"/>
      <c r="J47" s="21"/>
      <c r="K47" s="21"/>
      <c r="L47" s="21"/>
      <c r="M47" s="21"/>
      <c r="O47" s="18"/>
      <c r="P47" s="21"/>
      <c r="Q47" s="21"/>
      <c r="R47" s="21"/>
      <c r="S47" s="21"/>
      <c r="T47" s="21"/>
      <c r="U47" s="21"/>
      <c r="V47" s="21"/>
      <c r="AA47" s="163"/>
      <c r="AB47" s="163"/>
      <c r="AD47" s="18"/>
      <c r="AE47" s="21"/>
      <c r="AF47" s="21"/>
      <c r="AG47" s="21"/>
      <c r="AH47" s="21"/>
      <c r="AI47" s="21"/>
      <c r="AJ47" s="21"/>
      <c r="AK47" s="21"/>
      <c r="AL47" s="21"/>
      <c r="AM47" s="21"/>
      <c r="AQ47" s="18"/>
      <c r="AR47" s="21"/>
      <c r="AS47" s="21"/>
      <c r="AT47" s="21"/>
      <c r="AU47" s="21"/>
      <c r="AV47" s="21"/>
      <c r="AW47" s="21"/>
      <c r="AX47" s="21"/>
    </row>
    <row r="48" spans="3:53" x14ac:dyDescent="0.25">
      <c r="F48" s="18"/>
      <c r="G48" s="21"/>
      <c r="H48" s="21"/>
      <c r="I48" s="21"/>
      <c r="J48" s="21"/>
      <c r="K48" s="21"/>
      <c r="L48" s="21"/>
      <c r="M48" s="21"/>
      <c r="O48" s="18"/>
      <c r="P48" s="21"/>
      <c r="Q48" s="21"/>
      <c r="R48" s="21"/>
      <c r="S48" s="21"/>
      <c r="T48" s="21"/>
      <c r="U48" s="21"/>
      <c r="V48" s="21"/>
      <c r="AA48" s="163"/>
      <c r="AB48" s="163"/>
      <c r="AD48" s="18"/>
      <c r="AE48" s="21"/>
      <c r="AF48" s="21"/>
      <c r="AG48" s="21"/>
      <c r="AH48" s="21"/>
      <c r="AI48" s="21"/>
      <c r="AJ48" s="21"/>
      <c r="AK48" s="21"/>
      <c r="AL48" s="21"/>
      <c r="AM48" s="21"/>
      <c r="AQ48" s="18"/>
      <c r="AR48" s="21"/>
      <c r="AS48" s="21"/>
      <c r="AT48" s="21"/>
      <c r="AU48" s="21"/>
      <c r="AV48" s="21"/>
      <c r="AW48" s="21"/>
      <c r="AX48" s="21"/>
    </row>
    <row r="49" spans="3:53" ht="18" x14ac:dyDescent="0.35">
      <c r="C49" s="105" t="s">
        <v>44</v>
      </c>
      <c r="D49" s="60" t="s">
        <v>1</v>
      </c>
      <c r="E49" s="60" t="s">
        <v>2</v>
      </c>
      <c r="F49" s="60" t="s">
        <v>3</v>
      </c>
      <c r="G49" s="60" t="s">
        <v>4</v>
      </c>
      <c r="H49" s="60" t="s">
        <v>10</v>
      </c>
      <c r="I49" s="60" t="s">
        <v>9</v>
      </c>
      <c r="J49" s="60" t="s">
        <v>56</v>
      </c>
      <c r="K49" s="60" t="s">
        <v>5</v>
      </c>
      <c r="L49" s="60" t="s">
        <v>11</v>
      </c>
      <c r="M49" s="70" t="s">
        <v>9</v>
      </c>
      <c r="O49" s="152" t="s">
        <v>45</v>
      </c>
      <c r="P49" s="153" t="s">
        <v>1</v>
      </c>
      <c r="Q49" s="153" t="s">
        <v>2</v>
      </c>
      <c r="R49" s="153" t="s">
        <v>3</v>
      </c>
      <c r="S49" s="153" t="s">
        <v>4</v>
      </c>
      <c r="T49" s="153" t="s">
        <v>10</v>
      </c>
      <c r="U49" s="153" t="s">
        <v>9</v>
      </c>
      <c r="V49" s="153" t="s">
        <v>56</v>
      </c>
      <c r="W49" s="153" t="s">
        <v>5</v>
      </c>
      <c r="X49" s="153" t="s">
        <v>11</v>
      </c>
      <c r="Y49" s="154" t="s">
        <v>9</v>
      </c>
      <c r="AA49" s="163"/>
      <c r="AB49" s="163"/>
      <c r="AD49" s="105" t="s">
        <v>44</v>
      </c>
      <c r="AE49" s="60" t="s">
        <v>1</v>
      </c>
      <c r="AF49" s="60" t="s">
        <v>2</v>
      </c>
      <c r="AG49" s="60" t="s">
        <v>3</v>
      </c>
      <c r="AH49" s="60" t="s">
        <v>4</v>
      </c>
      <c r="AI49" s="60" t="s">
        <v>10</v>
      </c>
      <c r="AJ49" s="60" t="s">
        <v>9</v>
      </c>
      <c r="AK49" s="60" t="s">
        <v>56</v>
      </c>
      <c r="AL49" s="60" t="s">
        <v>5</v>
      </c>
      <c r="AM49" s="189" t="s">
        <v>11</v>
      </c>
      <c r="AN49" s="70" t="s">
        <v>9</v>
      </c>
      <c r="AQ49" s="152" t="s">
        <v>45</v>
      </c>
      <c r="AR49" s="153" t="s">
        <v>1</v>
      </c>
      <c r="AS49" s="153" t="s">
        <v>2</v>
      </c>
      <c r="AT49" s="153" t="s">
        <v>3</v>
      </c>
      <c r="AU49" s="153" t="s">
        <v>4</v>
      </c>
      <c r="AV49" s="153" t="s">
        <v>10</v>
      </c>
      <c r="AW49" s="153" t="s">
        <v>9</v>
      </c>
      <c r="AX49" s="153" t="s">
        <v>56</v>
      </c>
      <c r="AY49" s="153" t="s">
        <v>5</v>
      </c>
      <c r="AZ49" s="188" t="s">
        <v>11</v>
      </c>
      <c r="BA49" s="154" t="s">
        <v>9</v>
      </c>
    </row>
    <row r="50" spans="3:53" x14ac:dyDescent="0.25">
      <c r="C50" s="106" t="s">
        <v>6</v>
      </c>
      <c r="D50" s="46">
        <v>30</v>
      </c>
      <c r="E50" s="46">
        <v>0.12</v>
      </c>
      <c r="F50" s="46">
        <f>(E50-0.0102)/0.0007</f>
        <v>156.85714285714286</v>
      </c>
      <c r="G50" s="46">
        <f>((400-F50)/400)*100</f>
        <v>60.785714285714285</v>
      </c>
      <c r="H50" s="46">
        <f>AVERAGE(G50:G52)</f>
        <v>60.190476190476183</v>
      </c>
      <c r="I50" s="46">
        <f>_xlfn.STDEV.S(G50:G52)</f>
        <v>0.5455447255899778</v>
      </c>
      <c r="J50" s="46">
        <f>AVERAGE(F50:F52)</f>
        <v>159.23809523809521</v>
      </c>
      <c r="K50" s="46">
        <f>((400-F50)/1)*0.05</f>
        <v>12.157142857142858</v>
      </c>
      <c r="L50" s="46">
        <f>AVERAGE(K50:K52)</f>
        <v>12.038095238095238</v>
      </c>
      <c r="M50" s="179">
        <f>_xlfn.STDEV.S(K50:K52)</f>
        <v>0.10910894511799678</v>
      </c>
      <c r="O50" s="156" t="s">
        <v>6</v>
      </c>
      <c r="P50" s="157">
        <v>30</v>
      </c>
      <c r="Q50" s="157">
        <v>0.19</v>
      </c>
      <c r="R50" s="157">
        <f>(Q50-0.0102)/0.0007</f>
        <v>256.85714285714289</v>
      </c>
      <c r="S50" s="157">
        <f>((500-R50)/500)*100</f>
        <v>48.628571428571419</v>
      </c>
      <c r="T50" s="157">
        <f>AVERAGE(S50:S52)</f>
        <v>48.533333333333331</v>
      </c>
      <c r="U50" s="157">
        <f>_xlfn.STDEV.S(S50:S52)</f>
        <v>0.43643578047198245</v>
      </c>
      <c r="V50" s="157">
        <f>AVERAGE(R50:R52)</f>
        <v>257.33333333333337</v>
      </c>
      <c r="W50" s="157">
        <f>((500-R50)/1)*0.05</f>
        <v>12.157142857142857</v>
      </c>
      <c r="X50" s="157">
        <f>AVERAGE(W50:W52)</f>
        <v>12.133333333333333</v>
      </c>
      <c r="Y50" s="181">
        <f>_xlfn.STDEV.S(W50:W52)</f>
        <v>0.10910894511799581</v>
      </c>
      <c r="AA50" s="163"/>
      <c r="AB50" s="163"/>
      <c r="AD50" s="106" t="s">
        <v>6</v>
      </c>
      <c r="AE50" s="46">
        <v>30</v>
      </c>
      <c r="AF50" s="46">
        <v>0.14499999999999999</v>
      </c>
      <c r="AG50" s="46">
        <f>(AF50-0.0102)/0.0007</f>
        <v>192.57142857142853</v>
      </c>
      <c r="AH50" s="46">
        <f>((400-AG50)/400)*100</f>
        <v>51.857142857142868</v>
      </c>
      <c r="AI50" s="46">
        <f>AVERAGE(AH50:AH52)</f>
        <v>52.095238095238095</v>
      </c>
      <c r="AJ50" s="46">
        <f>_xlfn.STDEV.S(AH50:AH52)</f>
        <v>1.4433756729740586</v>
      </c>
      <c r="AK50" s="46">
        <f>AVERAGE(AG50:AG52)</f>
        <v>191.61904761904762</v>
      </c>
      <c r="AL50" s="46">
        <f>((400-AG50)/1)*0.05</f>
        <v>10.371428571428574</v>
      </c>
      <c r="AM50" s="185">
        <f>AVERAGE(AL50:AL52)</f>
        <v>10.419047619047619</v>
      </c>
      <c r="AN50" s="179">
        <f>_xlfn.STDEV.S(AL50:AL52)</f>
        <v>0.2886751345948117</v>
      </c>
      <c r="AQ50" s="156" t="s">
        <v>6</v>
      </c>
      <c r="AR50" s="157">
        <v>30</v>
      </c>
      <c r="AS50" s="157">
        <v>0.221</v>
      </c>
      <c r="AT50" s="157">
        <f>(AS50-0.0102)/0.0007</f>
        <v>301.14285714285711</v>
      </c>
      <c r="AU50" s="157">
        <f>((500-AT50)/500)*100</f>
        <v>39.771428571428579</v>
      </c>
      <c r="AV50" s="157">
        <f>AVERAGE(AU50:AU52)</f>
        <v>40.723809523809528</v>
      </c>
      <c r="AW50" s="157">
        <f>_xlfn.STDEV.S(AU50:AU52)</f>
        <v>0.87287156094396645</v>
      </c>
      <c r="AX50" s="157">
        <f>AVERAGE(AT50:AT52)</f>
        <v>296.38095238095235</v>
      </c>
      <c r="AY50" s="157">
        <f>((500-AT50)/1)*0.05</f>
        <v>9.9428571428571448</v>
      </c>
      <c r="AZ50" s="194">
        <f>AVERAGE(AY50:AY52)</f>
        <v>10.180952380952384</v>
      </c>
      <c r="BA50" s="181">
        <f>_xlfn.STDEV.S(AY50:AY52)</f>
        <v>0.21821789023599256</v>
      </c>
    </row>
    <row r="51" spans="3:53" ht="18" x14ac:dyDescent="0.35">
      <c r="C51" s="106" t="s">
        <v>19</v>
      </c>
      <c r="D51" s="46"/>
      <c r="E51" s="46">
        <v>0.122</v>
      </c>
      <c r="F51" s="46">
        <f>(E51-0.0102)/0.0007</f>
        <v>159.71428571428572</v>
      </c>
      <c r="G51" s="46">
        <f>((400-F51)/400)*100</f>
        <v>60.071428571428562</v>
      </c>
      <c r="H51" s="46"/>
      <c r="I51" s="46"/>
      <c r="J51" s="46"/>
      <c r="K51" s="46">
        <f>((400-F51)/1)*0.05</f>
        <v>12.014285714285714</v>
      </c>
      <c r="L51" s="46"/>
      <c r="M51" s="155"/>
      <c r="O51" s="156" t="s">
        <v>19</v>
      </c>
      <c r="P51" s="157"/>
      <c r="Q51" s="157">
        <v>0.192</v>
      </c>
      <c r="R51" s="157">
        <f t="shared" ref="R51:R52" si="28">(Q51-0.0102)/0.0007</f>
        <v>259.71428571428572</v>
      </c>
      <c r="S51" s="157">
        <f>((500-R51)/500)*100</f>
        <v>48.057142857142857</v>
      </c>
      <c r="T51" s="157"/>
      <c r="U51" s="157"/>
      <c r="V51" s="157"/>
      <c r="W51" s="157">
        <f>((500-R51)/1)*0.05</f>
        <v>12.014285714285714</v>
      </c>
      <c r="X51" s="157"/>
      <c r="Y51" s="158"/>
      <c r="AA51" s="163"/>
      <c r="AB51" s="163"/>
      <c r="AD51" s="106" t="s">
        <v>19</v>
      </c>
      <c r="AE51" s="46"/>
      <c r="AF51" s="46">
        <v>0.14000000000000001</v>
      </c>
      <c r="AG51" s="46">
        <f t="shared" ref="AG51:AG52" si="29">(AF51-0.0102)/0.0007</f>
        <v>185.42857142857147</v>
      </c>
      <c r="AH51" s="46">
        <f>((400-AG51)/400)*100</f>
        <v>53.642857142857139</v>
      </c>
      <c r="AI51" s="46"/>
      <c r="AJ51" s="46"/>
      <c r="AK51" s="46"/>
      <c r="AL51" s="46">
        <f>((400-AG51)/1)*0.05</f>
        <v>10.728571428571428</v>
      </c>
      <c r="AM51" s="46"/>
      <c r="AN51" s="179"/>
      <c r="AQ51" s="156" t="s">
        <v>19</v>
      </c>
      <c r="AR51" s="157"/>
      <c r="AS51" s="157">
        <v>0.217</v>
      </c>
      <c r="AT51" s="157">
        <f t="shared" ref="AT51:AT52" si="30">(AS51-0.0102)/0.0007</f>
        <v>295.42857142857139</v>
      </c>
      <c r="AU51" s="157">
        <f>((500-AT51)/500)*100</f>
        <v>40.914285714285718</v>
      </c>
      <c r="AV51" s="157"/>
      <c r="AW51" s="157"/>
      <c r="AX51" s="157"/>
      <c r="AY51" s="157">
        <f>((500-AT51)/1)*0.05</f>
        <v>10.228571428571431</v>
      </c>
      <c r="AZ51" s="157"/>
      <c r="BA51" s="181"/>
    </row>
    <row r="52" spans="3:53" x14ac:dyDescent="0.25">
      <c r="C52" s="106"/>
      <c r="D52" s="61"/>
      <c r="E52" s="61">
        <v>0.123</v>
      </c>
      <c r="F52" s="61">
        <f>(E52-0.0102)/0.0007</f>
        <v>161.14285714285714</v>
      </c>
      <c r="G52" s="61">
        <f>((400-F52)/400)*100</f>
        <v>59.714285714285722</v>
      </c>
      <c r="H52" s="61"/>
      <c r="I52" s="61"/>
      <c r="J52" s="61"/>
      <c r="K52" s="46">
        <f>((400-F52)/1)*0.05</f>
        <v>11.942857142857143</v>
      </c>
      <c r="L52" s="46"/>
      <c r="M52" s="155"/>
      <c r="O52" s="156"/>
      <c r="P52" s="160"/>
      <c r="Q52" s="160">
        <v>0.189</v>
      </c>
      <c r="R52" s="160">
        <f t="shared" si="28"/>
        <v>255.42857142857144</v>
      </c>
      <c r="S52" s="160">
        <f>((500-R52)/500)*100</f>
        <v>48.914285714285711</v>
      </c>
      <c r="T52" s="160"/>
      <c r="U52" s="160"/>
      <c r="V52" s="160"/>
      <c r="W52" s="157">
        <f>((500-R52)/1)*0.05</f>
        <v>12.228571428571428</v>
      </c>
      <c r="X52" s="157"/>
      <c r="Y52" s="158"/>
      <c r="AA52" s="163"/>
      <c r="AB52" s="163"/>
      <c r="AD52" s="106"/>
      <c r="AE52" s="61"/>
      <c r="AF52" s="61">
        <v>0.14799999999999999</v>
      </c>
      <c r="AG52" s="61">
        <f t="shared" si="29"/>
        <v>196.85714285714283</v>
      </c>
      <c r="AH52" s="61">
        <f>((400-AG52)/400)*100</f>
        <v>50.785714285714292</v>
      </c>
      <c r="AI52" s="61"/>
      <c r="AJ52" s="61"/>
      <c r="AK52" s="61"/>
      <c r="AL52" s="46">
        <f>((400-AG52)/1)*0.05</f>
        <v>10.157142857142858</v>
      </c>
      <c r="AM52" s="46"/>
      <c r="AN52" s="179"/>
      <c r="AQ52" s="156"/>
      <c r="AR52" s="160"/>
      <c r="AS52" s="160">
        <v>0.215</v>
      </c>
      <c r="AT52" s="160">
        <f t="shared" si="30"/>
        <v>292.57142857142856</v>
      </c>
      <c r="AU52" s="160">
        <f>((500-AT52)/500)*100</f>
        <v>41.485714285714288</v>
      </c>
      <c r="AV52" s="160"/>
      <c r="AW52" s="160"/>
      <c r="AX52" s="160"/>
      <c r="AY52" s="157">
        <f>((500-AT52)/1)*0.05</f>
        <v>10.371428571428574</v>
      </c>
      <c r="AZ52" s="157"/>
      <c r="BA52" s="181"/>
    </row>
    <row r="53" spans="3:53" x14ac:dyDescent="0.25">
      <c r="C53" s="106"/>
      <c r="D53" s="46"/>
      <c r="E53" s="46"/>
      <c r="F53" s="46"/>
      <c r="G53" s="46"/>
      <c r="H53" s="46"/>
      <c r="I53" s="46"/>
      <c r="J53" s="46"/>
      <c r="K53" s="46"/>
      <c r="L53" s="180"/>
      <c r="M53" s="155"/>
      <c r="O53" s="156"/>
      <c r="P53" s="157"/>
      <c r="Q53" s="157"/>
      <c r="R53" s="157"/>
      <c r="S53" s="157"/>
      <c r="T53" s="157"/>
      <c r="U53" s="157"/>
      <c r="V53" s="157"/>
      <c r="W53" s="157"/>
      <c r="X53" s="182"/>
      <c r="Y53" s="158"/>
      <c r="AA53" s="163"/>
      <c r="AB53" s="163"/>
      <c r="AD53" s="106"/>
      <c r="AE53" s="46"/>
      <c r="AF53" s="46"/>
      <c r="AG53" s="46"/>
      <c r="AH53" s="46"/>
      <c r="AI53" s="46"/>
      <c r="AJ53" s="46"/>
      <c r="AK53" s="46"/>
      <c r="AL53" s="46"/>
      <c r="AM53" s="180"/>
      <c r="AN53" s="179"/>
      <c r="AQ53" s="156"/>
      <c r="AR53" s="157"/>
      <c r="AS53" s="157"/>
      <c r="AT53" s="157"/>
      <c r="AU53" s="157"/>
      <c r="AV53" s="157"/>
      <c r="AW53" s="157"/>
      <c r="AX53" s="157"/>
      <c r="AY53" s="157"/>
      <c r="AZ53" s="182"/>
      <c r="BA53" s="181"/>
    </row>
    <row r="54" spans="3:53" x14ac:dyDescent="0.25">
      <c r="C54" s="106"/>
      <c r="D54" s="46">
        <v>40</v>
      </c>
      <c r="E54" s="46">
        <v>0.115</v>
      </c>
      <c r="F54" s="46">
        <f>(E54-0.0102)/0.0007</f>
        <v>149.71428571428572</v>
      </c>
      <c r="G54" s="46">
        <f>((400-F54)/400)*100</f>
        <v>62.571428571428569</v>
      </c>
      <c r="H54" s="46">
        <f>AVERAGE(G54:G56)</f>
        <v>62.928571428571423</v>
      </c>
      <c r="I54" s="46">
        <f>_xlfn.STDEV.S(G54:G56)</f>
        <v>0.94491118252307071</v>
      </c>
      <c r="J54" s="46">
        <f>AVERAGE(F54:F56)</f>
        <v>148.28571428571431</v>
      </c>
      <c r="K54" s="46">
        <f>((400-F54)/1)*0.05</f>
        <v>12.514285714285714</v>
      </c>
      <c r="L54" s="46">
        <f>AVERAGE(K54:K56)</f>
        <v>12.585714285714287</v>
      </c>
      <c r="M54" s="179">
        <f>_xlfn.STDEV.S(K54:K56)</f>
        <v>0.18898223650461393</v>
      </c>
      <c r="O54" s="156"/>
      <c r="P54" s="157">
        <v>40</v>
      </c>
      <c r="Q54" s="157">
        <v>0.183</v>
      </c>
      <c r="R54" s="157">
        <f>(Q54-0.0102)/0.0007</f>
        <v>246.85714285714286</v>
      </c>
      <c r="S54" s="157">
        <f>((500-R54)/500)*100</f>
        <v>50.628571428571419</v>
      </c>
      <c r="T54" s="157">
        <f>AVERAGE(S54:S56)</f>
        <v>50.628571428571426</v>
      </c>
      <c r="U54" s="157">
        <f>_xlfn.STDEV.S(S54:S56)</f>
        <v>0.8571428571428612</v>
      </c>
      <c r="V54" s="157">
        <f>AVERAGE(R54:R56)</f>
        <v>246.85714285714289</v>
      </c>
      <c r="W54" s="157">
        <f>((500-R54)/1)*0.05</f>
        <v>12.657142857142858</v>
      </c>
      <c r="X54" s="157">
        <f>AVERAGE(W54:W56)</f>
        <v>12.657142857142858</v>
      </c>
      <c r="Y54" s="181">
        <f>_xlfn.STDEV.S(W54:W56)</f>
        <v>0.2142857142857153</v>
      </c>
      <c r="AA54" s="163"/>
      <c r="AB54" s="163"/>
      <c r="AD54" s="106"/>
      <c r="AE54" s="46">
        <v>40</v>
      </c>
      <c r="AF54" s="46">
        <v>0.13900000000000001</v>
      </c>
      <c r="AG54" s="46">
        <f>(AF54-0.0102)/0.0007</f>
        <v>184.00000000000003</v>
      </c>
      <c r="AH54" s="46">
        <f>((400-AG54)/400)*100</f>
        <v>53.999999999999993</v>
      </c>
      <c r="AI54" s="46">
        <f>AVERAGE(AH54:AH56)</f>
        <v>54.595238095238081</v>
      </c>
      <c r="AJ54" s="46">
        <f>_xlfn.STDEV.S(AH54:AH56)</f>
        <v>0.54554472558997946</v>
      </c>
      <c r="AK54" s="46">
        <f>AVERAGE(AG54:AG56)</f>
        <v>181.61904761904768</v>
      </c>
      <c r="AL54" s="46">
        <f>((400-AG54)/1)*0.05</f>
        <v>10.799999999999999</v>
      </c>
      <c r="AM54" s="46">
        <f>AVERAGE(AL54:AL56)</f>
        <v>10.919047619047618</v>
      </c>
      <c r="AN54" s="179">
        <f>_xlfn.STDEV.S(AL54:AL56)</f>
        <v>0.109108945117996</v>
      </c>
      <c r="AQ54" s="156"/>
      <c r="AR54" s="157">
        <v>40</v>
      </c>
      <c r="AS54" s="157">
        <v>0.20699999999999999</v>
      </c>
      <c r="AT54" s="157">
        <f>(AS54-0.0102)/0.0007</f>
        <v>281.14285714285711</v>
      </c>
      <c r="AU54" s="157">
        <f>((500-AT54)/500)*100</f>
        <v>43.771428571428579</v>
      </c>
      <c r="AV54" s="157">
        <f>AVERAGE(AU54:AU56)</f>
        <v>44.914285714285711</v>
      </c>
      <c r="AW54" s="157">
        <f>_xlfn.STDEV.S(AU54:AU56)</f>
        <v>1.030157507275417</v>
      </c>
      <c r="AX54" s="157">
        <f>AVERAGE(AT54:AT56)</f>
        <v>275.42857142857139</v>
      </c>
      <c r="AY54" s="157">
        <f>((500-AT54)/1)*0.05</f>
        <v>10.942857142857145</v>
      </c>
      <c r="AZ54" s="157">
        <f>AVERAGE(AY54:AY56)</f>
        <v>11.228571428571428</v>
      </c>
      <c r="BA54" s="181">
        <f>_xlfn.STDEV.S(AY54:AY56)</f>
        <v>0.25753937681885497</v>
      </c>
    </row>
    <row r="55" spans="3:53" x14ac:dyDescent="0.25">
      <c r="C55" s="106"/>
      <c r="D55" s="46"/>
      <c r="E55" s="46">
        <v>0.111</v>
      </c>
      <c r="F55" s="46">
        <f>(E55-0.0102)/0.0007</f>
        <v>144</v>
      </c>
      <c r="G55" s="46">
        <f>((400-F55)/400)*100</f>
        <v>64</v>
      </c>
      <c r="H55" s="46"/>
      <c r="I55" s="46"/>
      <c r="J55" s="46"/>
      <c r="K55" s="46">
        <f>((400-F55)/1)*0.05</f>
        <v>12.8</v>
      </c>
      <c r="L55" s="46"/>
      <c r="M55" s="155"/>
      <c r="O55" s="156"/>
      <c r="P55" s="157"/>
      <c r="Q55" s="157">
        <v>0.18</v>
      </c>
      <c r="R55" s="157">
        <f t="shared" ref="R55:R56" si="31">(Q55-0.0102)/0.0007</f>
        <v>242.57142857142858</v>
      </c>
      <c r="S55" s="157">
        <f>((500-R55)/500)*100</f>
        <v>51.485714285714288</v>
      </c>
      <c r="T55" s="157"/>
      <c r="U55" s="157"/>
      <c r="V55" s="157"/>
      <c r="W55" s="157">
        <f>((500-R55)/1)*0.05</f>
        <v>12.871428571428574</v>
      </c>
      <c r="X55" s="157"/>
      <c r="Y55" s="158"/>
      <c r="AA55" s="163"/>
      <c r="AB55" s="163"/>
      <c r="AD55" s="106"/>
      <c r="AE55" s="46"/>
      <c r="AF55" s="46">
        <v>0.13700000000000001</v>
      </c>
      <c r="AG55" s="46">
        <f t="shared" ref="AG55:AG56" si="32">(AF55-0.0102)/0.0007</f>
        <v>181.14285714285717</v>
      </c>
      <c r="AH55" s="46">
        <f>((400-AG55)/400)*100</f>
        <v>54.714285714285701</v>
      </c>
      <c r="AI55" s="46"/>
      <c r="AJ55" s="46"/>
      <c r="AK55" s="46"/>
      <c r="AL55" s="46">
        <f>((400-AG55)/1)*0.05</f>
        <v>10.942857142857143</v>
      </c>
      <c r="AM55" s="46"/>
      <c r="AN55" s="179"/>
      <c r="AQ55" s="156"/>
      <c r="AR55" s="157"/>
      <c r="AS55" s="157">
        <v>0.20200000000000001</v>
      </c>
      <c r="AT55" s="157">
        <f t="shared" ref="AT55:AT56" si="33">(AS55-0.0102)/0.0007</f>
        <v>274.00000000000006</v>
      </c>
      <c r="AU55" s="157">
        <f>((500-AT55)/500)*100</f>
        <v>45.199999999999989</v>
      </c>
      <c r="AV55" s="157"/>
      <c r="AW55" s="157"/>
      <c r="AX55" s="157"/>
      <c r="AY55" s="157">
        <f>((500-AT55)/1)*0.05</f>
        <v>11.299999999999997</v>
      </c>
      <c r="AZ55" s="157"/>
      <c r="BA55" s="181"/>
    </row>
    <row r="56" spans="3:53" x14ac:dyDescent="0.25">
      <c r="C56" s="106"/>
      <c r="D56" s="61"/>
      <c r="E56" s="61">
        <v>0.11600000000000001</v>
      </c>
      <c r="F56" s="61">
        <f>(E56-0.0102)/0.0007</f>
        <v>151.14285714285714</v>
      </c>
      <c r="G56" s="61">
        <f>((400-F56)/400)*100</f>
        <v>62.214285714285708</v>
      </c>
      <c r="H56" s="61"/>
      <c r="I56" s="61"/>
      <c r="J56" s="61"/>
      <c r="K56" s="46">
        <f>((400-F56)/1)*0.05</f>
        <v>12.442857142857143</v>
      </c>
      <c r="L56" s="46"/>
      <c r="M56" s="155"/>
      <c r="O56" s="156"/>
      <c r="P56" s="160"/>
      <c r="Q56" s="160">
        <v>0.186</v>
      </c>
      <c r="R56" s="160">
        <f t="shared" si="31"/>
        <v>251.14285714285717</v>
      </c>
      <c r="S56" s="160">
        <f>((500-R56)/500)*100</f>
        <v>49.771428571428565</v>
      </c>
      <c r="T56" s="160"/>
      <c r="U56" s="160"/>
      <c r="V56" s="160"/>
      <c r="W56" s="157">
        <f>((500-R56)/1)*0.05</f>
        <v>12.442857142857143</v>
      </c>
      <c r="X56" s="157"/>
      <c r="Y56" s="158"/>
      <c r="AA56" s="163"/>
      <c r="AB56" s="163"/>
      <c r="AD56" s="106"/>
      <c r="AE56" s="61"/>
      <c r="AF56" s="61">
        <v>0.13600000000000001</v>
      </c>
      <c r="AG56" s="61">
        <f t="shared" si="32"/>
        <v>179.71428571428575</v>
      </c>
      <c r="AH56" s="61">
        <f>((400-AG56)/400)*100</f>
        <v>55.071428571428562</v>
      </c>
      <c r="AI56" s="61"/>
      <c r="AJ56" s="61"/>
      <c r="AK56" s="61"/>
      <c r="AL56" s="46">
        <f>((400-AG56)/1)*0.05</f>
        <v>11.014285714285712</v>
      </c>
      <c r="AM56" s="46"/>
      <c r="AN56" s="179"/>
      <c r="AQ56" s="156"/>
      <c r="AR56" s="160"/>
      <c r="AS56" s="160">
        <v>0.2</v>
      </c>
      <c r="AT56" s="160">
        <f t="shared" si="33"/>
        <v>271.14285714285717</v>
      </c>
      <c r="AU56" s="160">
        <f>((500-AT56)/500)*100</f>
        <v>45.771428571428565</v>
      </c>
      <c r="AV56" s="160"/>
      <c r="AW56" s="160"/>
      <c r="AX56" s="160"/>
      <c r="AY56" s="157">
        <f>((500-AT56)/1)*0.05</f>
        <v>11.442857142857143</v>
      </c>
      <c r="AZ56" s="157"/>
      <c r="BA56" s="181"/>
    </row>
    <row r="57" spans="3:53" x14ac:dyDescent="0.25">
      <c r="C57" s="106"/>
      <c r="D57" s="46"/>
      <c r="E57" s="46"/>
      <c r="F57" s="46"/>
      <c r="G57" s="46"/>
      <c r="H57" s="46"/>
      <c r="I57" s="46"/>
      <c r="J57" s="46"/>
      <c r="K57" s="46"/>
      <c r="L57" s="180"/>
      <c r="M57" s="155"/>
      <c r="O57" s="156"/>
      <c r="P57" s="157"/>
      <c r="Q57" s="157"/>
      <c r="R57" s="157"/>
      <c r="S57" s="157"/>
      <c r="T57" s="157"/>
      <c r="U57" s="157"/>
      <c r="V57" s="157"/>
      <c r="W57" s="157"/>
      <c r="X57" s="182"/>
      <c r="Y57" s="158"/>
      <c r="AA57" s="163"/>
      <c r="AB57" s="163"/>
      <c r="AD57" s="106"/>
      <c r="AE57" s="46"/>
      <c r="AF57" s="46"/>
      <c r="AG57" s="46"/>
      <c r="AH57" s="46"/>
      <c r="AI57" s="46"/>
      <c r="AJ57" s="46"/>
      <c r="AK57" s="46"/>
      <c r="AL57" s="46"/>
      <c r="AM57" s="180"/>
      <c r="AN57" s="179"/>
      <c r="AQ57" s="156"/>
      <c r="AR57" s="157"/>
      <c r="AS57" s="157"/>
      <c r="AT57" s="157"/>
      <c r="AU57" s="157"/>
      <c r="AV57" s="157"/>
      <c r="AW57" s="157"/>
      <c r="AX57" s="157"/>
      <c r="AY57" s="157"/>
      <c r="AZ57" s="182"/>
      <c r="BA57" s="181"/>
    </row>
    <row r="58" spans="3:53" x14ac:dyDescent="0.25">
      <c r="C58" s="106"/>
      <c r="D58" s="46">
        <v>50</v>
      </c>
      <c r="E58" s="46">
        <v>0.11</v>
      </c>
      <c r="F58" s="46">
        <f>(E58-0.0102)/0.0007</f>
        <v>142.57142857142858</v>
      </c>
      <c r="G58" s="46">
        <f>((400-F58)/400)*100</f>
        <v>64.357142857142861</v>
      </c>
      <c r="H58" s="46">
        <f>AVERAGE(G58:G60)</f>
        <v>65.19047619047619</v>
      </c>
      <c r="I58" s="46">
        <f>_xlfn.STDEV.S(G58:G60)</f>
        <v>0.74345214266647075</v>
      </c>
      <c r="J58" s="46">
        <f>AVERAGE(F58:F60)</f>
        <v>139.23809523809527</v>
      </c>
      <c r="K58" s="46">
        <f>((400-F58)/1)*0.05</f>
        <v>12.871428571428574</v>
      </c>
      <c r="L58" s="46">
        <f>AVERAGE(K58:K60)</f>
        <v>13.03809523809524</v>
      </c>
      <c r="M58" s="179">
        <f>_xlfn.STDEV.S(K58:K60)</f>
        <v>0.14869042853329395</v>
      </c>
      <c r="O58" s="156"/>
      <c r="P58" s="157">
        <v>50</v>
      </c>
      <c r="Q58" s="157">
        <v>0.17</v>
      </c>
      <c r="R58" s="157">
        <f>(Q58-0.0102)/0.0007</f>
        <v>228.28571428571428</v>
      </c>
      <c r="S58" s="157">
        <f>((500-R58)/500)*100</f>
        <v>54.342857142857149</v>
      </c>
      <c r="T58" s="157">
        <f>AVERAGE(S58:S60)</f>
        <v>53.961904761904769</v>
      </c>
      <c r="U58" s="157">
        <f>_xlfn.STDEV.S(S58:S60)</f>
        <v>0.65982887907385979</v>
      </c>
      <c r="V58" s="157">
        <f>AVERAGE(R58:R60)</f>
        <v>230.19047619047618</v>
      </c>
      <c r="W58" s="157">
        <f>((500-R58)/1)*0.05</f>
        <v>13.585714285714287</v>
      </c>
      <c r="X58" s="157">
        <f>AVERAGE(W58:W60)</f>
        <v>13.490476190476192</v>
      </c>
      <c r="Y58" s="181">
        <f>_xlfn.STDEV.S(W58:W60)</f>
        <v>0.16495721976846495</v>
      </c>
      <c r="AA58" s="163"/>
      <c r="AB58" s="163"/>
      <c r="AD58" s="106"/>
      <c r="AE58" s="46">
        <v>50</v>
      </c>
      <c r="AF58" s="46">
        <v>0.129</v>
      </c>
      <c r="AG58" s="46">
        <f>(AF58-0.0102)/0.0007</f>
        <v>169.71428571428572</v>
      </c>
      <c r="AH58" s="46">
        <f>((400-AG58)/400)*100</f>
        <v>57.571428571428577</v>
      </c>
      <c r="AI58" s="46">
        <f>AVERAGE(AH58:AH60)</f>
        <v>58.404761904761905</v>
      </c>
      <c r="AJ58" s="46">
        <f>_xlfn.STDEV.S(AH58:AH60)</f>
        <v>0.89878981372270439</v>
      </c>
      <c r="AK58" s="46">
        <f>AVERAGE(AG58:AG60)</f>
        <v>166.38095238095238</v>
      </c>
      <c r="AL58" s="46">
        <f>((400-AG58)/1)*0.05</f>
        <v>11.514285714285714</v>
      </c>
      <c r="AM58" s="46">
        <f>AVERAGE(AL58:AL60)</f>
        <v>11.680952380952382</v>
      </c>
      <c r="AN58" s="179">
        <f>_xlfn.STDEV.S(AL58:AL60)</f>
        <v>0.17975796274454184</v>
      </c>
      <c r="AQ58" s="156"/>
      <c r="AR58" s="157">
        <v>50</v>
      </c>
      <c r="AS58" s="157">
        <v>0.191</v>
      </c>
      <c r="AT58" s="157">
        <f>(AS58-0.0102)/0.0007</f>
        <v>258.28571428571433</v>
      </c>
      <c r="AU58" s="157">
        <f>((500-AT58)/500)*100</f>
        <v>48.342857142857135</v>
      </c>
      <c r="AV58" s="157">
        <f>AVERAGE(AU58:AU60)</f>
        <v>47.67619047619047</v>
      </c>
      <c r="AW58" s="157">
        <f>_xlfn.STDEV.S(AU58:AU60)</f>
        <v>0.59476171413318268</v>
      </c>
      <c r="AX58" s="157">
        <f>AVERAGE(AT58:AT60)</f>
        <v>261.61904761904765</v>
      </c>
      <c r="AY58" s="157">
        <f>((500-AT58)/1)*0.05</f>
        <v>12.085714285714284</v>
      </c>
      <c r="AZ58" s="157">
        <f>AVERAGE(AY58:AY60)</f>
        <v>11.919047619047618</v>
      </c>
      <c r="BA58" s="181">
        <f>_xlfn.STDEV.S(AY58:AY60)</f>
        <v>0.14869042853329539</v>
      </c>
    </row>
    <row r="59" spans="3:53" x14ac:dyDescent="0.25">
      <c r="C59" s="106"/>
      <c r="D59" s="46"/>
      <c r="E59" s="46">
        <v>0.107</v>
      </c>
      <c r="F59" s="46">
        <f>(E59-0.0102)/0.0007</f>
        <v>138.28571428571428</v>
      </c>
      <c r="G59" s="46">
        <f>((400-F59)/400)*100</f>
        <v>65.428571428571431</v>
      </c>
      <c r="H59" s="46"/>
      <c r="I59" s="46"/>
      <c r="J59" s="46"/>
      <c r="K59" s="46">
        <f>((400-F59)/1)*0.05</f>
        <v>13.085714285714287</v>
      </c>
      <c r="L59" s="46"/>
      <c r="M59" s="155"/>
      <c r="O59" s="156"/>
      <c r="P59" s="157"/>
      <c r="Q59" s="157">
        <v>0.17399999999999999</v>
      </c>
      <c r="R59" s="157">
        <f t="shared" ref="R59:R60" si="34">(Q59-0.0102)/0.0007</f>
        <v>234</v>
      </c>
      <c r="S59" s="157">
        <f>((500-R59)/500)*100</f>
        <v>53.2</v>
      </c>
      <c r="T59" s="157"/>
      <c r="U59" s="157"/>
      <c r="V59" s="157"/>
      <c r="W59" s="157">
        <f>((500-R59)/1)*0.05</f>
        <v>13.3</v>
      </c>
      <c r="X59" s="157"/>
      <c r="Y59" s="158"/>
      <c r="AA59" s="163"/>
      <c r="AB59" s="163"/>
      <c r="AD59" s="106"/>
      <c r="AE59" s="46"/>
      <c r="AF59" s="46">
        <v>0.127</v>
      </c>
      <c r="AG59" s="46">
        <f t="shared" ref="AG59:AG60" si="35">(AF59-0.0102)/0.0007</f>
        <v>166.85714285714286</v>
      </c>
      <c r="AH59" s="46">
        <f>((400-AG59)/400)*100</f>
        <v>58.285714285714285</v>
      </c>
      <c r="AI59" s="46"/>
      <c r="AJ59" s="46"/>
      <c r="AK59" s="46"/>
      <c r="AL59" s="46">
        <f>((400-AG59)/1)*0.05</f>
        <v>11.657142857142858</v>
      </c>
      <c r="AM59" s="46"/>
      <c r="AN59" s="179"/>
      <c r="AQ59" s="156"/>
      <c r="AR59" s="157"/>
      <c r="AS59" s="157">
        <v>0.19400000000000001</v>
      </c>
      <c r="AT59" s="157">
        <f t="shared" ref="AT59:AT60" si="36">(AS59-0.0102)/0.0007</f>
        <v>262.57142857142861</v>
      </c>
      <c r="AU59" s="157">
        <f>((500-AT59)/500)*100</f>
        <v>47.485714285714273</v>
      </c>
      <c r="AV59" s="157"/>
      <c r="AW59" s="157"/>
      <c r="AX59" s="157"/>
      <c r="AY59" s="157">
        <f>((500-AT59)/1)*0.05</f>
        <v>11.87142857142857</v>
      </c>
      <c r="AZ59" s="157"/>
      <c r="BA59" s="181"/>
    </row>
    <row r="60" spans="3:53" x14ac:dyDescent="0.25">
      <c r="C60" s="107"/>
      <c r="D60" s="61"/>
      <c r="E60" s="61">
        <v>0.106</v>
      </c>
      <c r="F60" s="61">
        <f>(E60-0.0102)/0.0007</f>
        <v>136.85714285714286</v>
      </c>
      <c r="G60" s="61">
        <f>((400-F60)/400)*100</f>
        <v>65.785714285714278</v>
      </c>
      <c r="H60" s="61"/>
      <c r="I60" s="61"/>
      <c r="J60" s="61"/>
      <c r="K60" s="61">
        <f>((400-F60)/1)*0.05</f>
        <v>13.157142857142857</v>
      </c>
      <c r="L60" s="61"/>
      <c r="M60" s="159"/>
      <c r="O60" s="162"/>
      <c r="P60" s="160"/>
      <c r="Q60" s="160">
        <v>0.17</v>
      </c>
      <c r="R60" s="160">
        <f t="shared" si="34"/>
        <v>228.28571428571428</v>
      </c>
      <c r="S60" s="160">
        <f>((500-R60)/500)*100</f>
        <v>54.342857142857149</v>
      </c>
      <c r="T60" s="160"/>
      <c r="U60" s="160"/>
      <c r="V60" s="160"/>
      <c r="W60" s="160">
        <f>((500-R60)/1)*0.05</f>
        <v>13.585714285714287</v>
      </c>
      <c r="X60" s="160"/>
      <c r="Y60" s="161"/>
      <c r="AA60" s="163"/>
      <c r="AB60" s="163"/>
      <c r="AD60" s="107"/>
      <c r="AE60" s="61"/>
      <c r="AF60" s="61">
        <v>0.124</v>
      </c>
      <c r="AG60" s="61">
        <f t="shared" si="35"/>
        <v>162.57142857142858</v>
      </c>
      <c r="AH60" s="61">
        <f>((400-AG60)/400)*100</f>
        <v>59.357142857142854</v>
      </c>
      <c r="AI60" s="61"/>
      <c r="AJ60" s="61"/>
      <c r="AK60" s="61"/>
      <c r="AL60" s="61">
        <f>((400-AG60)/1)*0.05</f>
        <v>11.871428571428572</v>
      </c>
      <c r="AM60" s="61"/>
      <c r="AN60" s="193"/>
      <c r="AQ60" s="162"/>
      <c r="AR60" s="160"/>
      <c r="AS60" s="160">
        <v>0.19500000000000001</v>
      </c>
      <c r="AT60" s="160">
        <f t="shared" si="36"/>
        <v>264.00000000000006</v>
      </c>
      <c r="AU60" s="160">
        <f>((500-AT60)/500)*100</f>
        <v>47.199999999999989</v>
      </c>
      <c r="AV60" s="160"/>
      <c r="AW60" s="160"/>
      <c r="AX60" s="160"/>
      <c r="AY60" s="160">
        <f>((500-AT60)/1)*0.05</f>
        <v>11.799999999999997</v>
      </c>
      <c r="AZ60" s="160"/>
      <c r="BA60" s="195"/>
    </row>
    <row r="61" spans="3:53" x14ac:dyDescent="0.25">
      <c r="AA61" s="163"/>
      <c r="AB61" s="163"/>
    </row>
    <row r="62" spans="3:53" x14ac:dyDescent="0.25">
      <c r="AA62" s="163"/>
      <c r="AB62" s="163"/>
    </row>
    <row r="63" spans="3:53" x14ac:dyDescent="0.25">
      <c r="G63" s="56" t="s">
        <v>60</v>
      </c>
      <c r="AA63" s="163"/>
      <c r="AB63" s="163"/>
      <c r="AH63" s="56" t="s">
        <v>61</v>
      </c>
    </row>
    <row r="64" spans="3:53" x14ac:dyDescent="0.25">
      <c r="E64" s="47" t="s">
        <v>1</v>
      </c>
      <c r="F64" s="317" t="s">
        <v>55</v>
      </c>
      <c r="G64" s="318"/>
      <c r="H64" s="318"/>
      <c r="I64" s="319"/>
      <c r="AA64" s="163"/>
      <c r="AB64" s="163"/>
      <c r="AF64" s="47" t="s">
        <v>1</v>
      </c>
      <c r="AG64" s="317" t="s">
        <v>55</v>
      </c>
      <c r="AH64" s="318"/>
      <c r="AI64" s="318"/>
      <c r="AJ64" s="319"/>
      <c r="AK64" s="196"/>
    </row>
    <row r="65" spans="3:37" x14ac:dyDescent="0.25">
      <c r="E65" s="169"/>
      <c r="F65" s="170">
        <v>150</v>
      </c>
      <c r="G65" s="170">
        <v>300</v>
      </c>
      <c r="H65" s="170">
        <v>400</v>
      </c>
      <c r="I65" s="171">
        <v>500</v>
      </c>
      <c r="AA65" s="163"/>
      <c r="AB65" s="163"/>
      <c r="AF65" s="169"/>
      <c r="AG65" s="170">
        <v>150</v>
      </c>
      <c r="AH65" s="170">
        <v>300</v>
      </c>
      <c r="AI65" s="170">
        <v>400</v>
      </c>
      <c r="AJ65" s="171">
        <v>500</v>
      </c>
    </row>
    <row r="66" spans="3:37" x14ac:dyDescent="0.25">
      <c r="E66" s="169">
        <v>30</v>
      </c>
      <c r="F66" s="124">
        <f>H35</f>
        <v>69.07936507936509</v>
      </c>
      <c r="G66" s="124">
        <f>S35</f>
        <v>62.476190476190482</v>
      </c>
      <c r="H66" s="124">
        <f>H50</f>
        <v>60.190476190476183</v>
      </c>
      <c r="I66" s="172">
        <f>S50</f>
        <v>48.628571428571419</v>
      </c>
      <c r="AA66" s="163"/>
      <c r="AB66" s="163"/>
      <c r="AF66" s="169">
        <v>30</v>
      </c>
      <c r="AG66" s="124">
        <f>AI35</f>
        <v>65.904761904761912</v>
      </c>
      <c r="AH66" s="124">
        <f>AV35</f>
        <v>55.333333333333336</v>
      </c>
      <c r="AI66" s="124">
        <f>AI50</f>
        <v>52.095238095238095</v>
      </c>
      <c r="AJ66" s="172">
        <f>AV50</f>
        <v>40.723809523809528</v>
      </c>
    </row>
    <row r="67" spans="3:37" x14ac:dyDescent="0.25">
      <c r="E67" s="169">
        <v>40</v>
      </c>
      <c r="F67" s="124">
        <f>H39</f>
        <v>77.968253968253975</v>
      </c>
      <c r="G67" s="124">
        <f>S39</f>
        <v>66.761904761904759</v>
      </c>
      <c r="H67" s="124">
        <f>H54</f>
        <v>62.928571428571423</v>
      </c>
      <c r="I67" s="172">
        <f>S54</f>
        <v>50.628571428571419</v>
      </c>
      <c r="AA67" s="163"/>
      <c r="AB67" s="163"/>
      <c r="AF67" s="169">
        <v>40</v>
      </c>
      <c r="AG67" s="124">
        <f>AI39</f>
        <v>73.523809523809518</v>
      </c>
      <c r="AH67" s="124">
        <f>AV39</f>
        <v>59.460317460317462</v>
      </c>
      <c r="AI67" s="124">
        <f>AI54</f>
        <v>54.595238095238081</v>
      </c>
      <c r="AJ67" s="172">
        <f>AV54</f>
        <v>44.914285714285711</v>
      </c>
    </row>
    <row r="68" spans="3:37" x14ac:dyDescent="0.25">
      <c r="E68" s="104">
        <v>50</v>
      </c>
      <c r="F68" s="130">
        <f>H43</f>
        <v>83.682539682539684</v>
      </c>
      <c r="G68" s="130">
        <f>S43</f>
        <v>73.904761904761912</v>
      </c>
      <c r="H68" s="130">
        <f>H58</f>
        <v>65.19047619047619</v>
      </c>
      <c r="I68" s="173">
        <f>S58</f>
        <v>54.342857142857149</v>
      </c>
      <c r="AA68" s="163"/>
      <c r="AB68" s="163"/>
      <c r="AF68" s="104">
        <v>50</v>
      </c>
      <c r="AG68" s="130">
        <f>AI43</f>
        <v>77.968253968253975</v>
      </c>
      <c r="AH68" s="130">
        <f>AV43</f>
        <v>63.587301587301589</v>
      </c>
      <c r="AI68" s="130">
        <f>AI58</f>
        <v>58.404761904761905</v>
      </c>
      <c r="AJ68" s="173">
        <f>AV58</f>
        <v>47.67619047619047</v>
      </c>
    </row>
    <row r="69" spans="3:37" x14ac:dyDescent="0.25">
      <c r="AA69" s="163"/>
      <c r="AB69" s="163"/>
    </row>
    <row r="70" spans="3:37" x14ac:dyDescent="0.25">
      <c r="AA70" s="163"/>
      <c r="AB70" s="163"/>
    </row>
    <row r="71" spans="3:37" x14ac:dyDescent="0.25">
      <c r="AA71" s="163"/>
      <c r="AB71" s="163"/>
    </row>
    <row r="72" spans="3:37" x14ac:dyDescent="0.25">
      <c r="AA72" s="163"/>
      <c r="AB72" s="163"/>
    </row>
    <row r="73" spans="3:37" x14ac:dyDescent="0.25">
      <c r="AA73" s="163"/>
      <c r="AB73" s="163"/>
    </row>
    <row r="74" spans="3:37" x14ac:dyDescent="0.25">
      <c r="AA74" s="163"/>
      <c r="AB74" s="163"/>
    </row>
    <row r="75" spans="3:37" x14ac:dyDescent="0.25">
      <c r="AA75" s="163"/>
      <c r="AB75" s="163"/>
    </row>
    <row r="76" spans="3:37" x14ac:dyDescent="0.25">
      <c r="AA76" s="163"/>
      <c r="AB76" s="163"/>
    </row>
    <row r="77" spans="3:37" x14ac:dyDescent="0.25">
      <c r="AA77" s="163"/>
      <c r="AB77" s="163"/>
    </row>
    <row r="78" spans="3:37" x14ac:dyDescent="0.25">
      <c r="AA78" s="163"/>
      <c r="AB78" s="163"/>
    </row>
    <row r="79" spans="3:37" x14ac:dyDescent="0.25">
      <c r="AA79" s="163"/>
      <c r="AB79" s="163"/>
    </row>
    <row r="80" spans="3:37" ht="15.75" x14ac:dyDescent="0.25">
      <c r="C80" s="313" t="s">
        <v>46</v>
      </c>
      <c r="D80" s="314"/>
      <c r="E80" s="314"/>
      <c r="F80" s="314"/>
      <c r="G80" s="314"/>
      <c r="H80" s="314"/>
      <c r="I80" s="315"/>
      <c r="AA80" s="163"/>
      <c r="AB80" s="163"/>
      <c r="AE80" s="313" t="s">
        <v>46</v>
      </c>
      <c r="AF80" s="314"/>
      <c r="AG80" s="314"/>
      <c r="AH80" s="314"/>
      <c r="AI80" s="314"/>
      <c r="AJ80" s="314"/>
      <c r="AK80" s="315"/>
    </row>
    <row r="81" spans="3:37" x14ac:dyDescent="0.25">
      <c r="C81" s="289" t="s">
        <v>47</v>
      </c>
      <c r="D81" s="316"/>
      <c r="E81" s="290"/>
      <c r="F81" s="281" t="s">
        <v>48</v>
      </c>
      <c r="G81" s="283"/>
      <c r="H81" s="267" t="s">
        <v>49</v>
      </c>
      <c r="I81" s="269"/>
      <c r="AA81" s="163"/>
      <c r="AB81" s="163"/>
      <c r="AE81" s="289" t="s">
        <v>47</v>
      </c>
      <c r="AF81" s="316"/>
      <c r="AG81" s="290"/>
      <c r="AH81" s="198" t="s">
        <v>48</v>
      </c>
      <c r="AI81" s="199"/>
      <c r="AJ81" s="267" t="s">
        <v>49</v>
      </c>
      <c r="AK81" s="269"/>
    </row>
    <row r="82" spans="3:37" ht="18" x14ac:dyDescent="0.35">
      <c r="C82" s="111" t="s">
        <v>1</v>
      </c>
      <c r="D82" s="112" t="s">
        <v>50</v>
      </c>
      <c r="E82" s="112" t="s">
        <v>32</v>
      </c>
      <c r="F82" s="113" t="s">
        <v>51</v>
      </c>
      <c r="G82" s="114" t="s">
        <v>52</v>
      </c>
      <c r="H82" s="115" t="s">
        <v>53</v>
      </c>
      <c r="I82" s="116" t="s">
        <v>54</v>
      </c>
      <c r="AA82" s="163"/>
      <c r="AB82" s="163"/>
      <c r="AE82" s="111" t="s">
        <v>1</v>
      </c>
      <c r="AF82" s="112" t="s">
        <v>50</v>
      </c>
      <c r="AG82" s="112" t="s">
        <v>32</v>
      </c>
      <c r="AH82" s="113" t="s">
        <v>51</v>
      </c>
      <c r="AI82" s="114" t="s">
        <v>52</v>
      </c>
      <c r="AJ82" s="115" t="s">
        <v>53</v>
      </c>
      <c r="AK82" s="116" t="s">
        <v>54</v>
      </c>
    </row>
    <row r="83" spans="3:37" x14ac:dyDescent="0.25">
      <c r="C83" s="117">
        <v>30</v>
      </c>
      <c r="D83" s="118">
        <v>150</v>
      </c>
      <c r="E83" s="118">
        <f>L35</f>
        <v>5.1809523809523812</v>
      </c>
      <c r="F83" s="119">
        <f>J35</f>
        <v>46.380952380952387</v>
      </c>
      <c r="G83" s="120">
        <f t="shared" ref="G83:G94" si="37">F83/E83</f>
        <v>8.952205882352942</v>
      </c>
      <c r="H83" s="121">
        <f t="shared" ref="H83:I94" si="38">LOG10(E83)</f>
        <v>0.71440960062824188</v>
      </c>
      <c r="I83" s="122">
        <f t="shared" si="38"/>
        <v>1.6663396621446964</v>
      </c>
      <c r="AA83" s="163"/>
      <c r="AB83" s="163"/>
      <c r="AE83" s="117">
        <v>30</v>
      </c>
      <c r="AF83" s="118">
        <v>150</v>
      </c>
      <c r="AG83" s="118">
        <f>AM35</f>
        <v>4.9428571428571431</v>
      </c>
      <c r="AH83" s="119">
        <f>AK35</f>
        <v>51.142857142857139</v>
      </c>
      <c r="AI83" s="120">
        <f t="shared" ref="AI83:AI94" si="39">AH83/AG83</f>
        <v>10.346820809248554</v>
      </c>
      <c r="AJ83" s="121">
        <f t="shared" ref="AJ83:AJ94" si="40">LOG10(AG83)</f>
        <v>0.69397805877851981</v>
      </c>
      <c r="AK83" s="122">
        <f t="shared" ref="AK83:AK94" si="41">LOG10(AH83)</f>
        <v>1.7087849866296174</v>
      </c>
    </row>
    <row r="84" spans="3:37" x14ac:dyDescent="0.25">
      <c r="C84" s="123"/>
      <c r="D84" s="124">
        <v>300</v>
      </c>
      <c r="E84" s="124">
        <f>X35</f>
        <v>9.6095238095238109</v>
      </c>
      <c r="F84" s="125">
        <f>V35</f>
        <v>107.80952380952381</v>
      </c>
      <c r="G84" s="126">
        <f t="shared" si="37"/>
        <v>11.219028741328046</v>
      </c>
      <c r="H84" s="127">
        <f t="shared" si="38"/>
        <v>0.9827018671669725</v>
      </c>
      <c r="I84" s="128">
        <f t="shared" si="38"/>
        <v>2.0326571277823144</v>
      </c>
      <c r="AA84" s="163"/>
      <c r="AB84" s="163"/>
      <c r="AE84" s="123"/>
      <c r="AF84" s="124">
        <v>300</v>
      </c>
      <c r="AG84" s="124">
        <f>AZ35</f>
        <v>8.2999999999999989</v>
      </c>
      <c r="AH84" s="125">
        <f>AX35</f>
        <v>134</v>
      </c>
      <c r="AI84" s="126">
        <f t="shared" si="39"/>
        <v>16.144578313253014</v>
      </c>
      <c r="AJ84" s="127">
        <f t="shared" si="40"/>
        <v>0.91907809237607385</v>
      </c>
      <c r="AK84" s="128">
        <f t="shared" si="41"/>
        <v>2.1271047983648077</v>
      </c>
    </row>
    <row r="85" spans="3:37" x14ac:dyDescent="0.25">
      <c r="C85" s="123"/>
      <c r="D85" s="124">
        <v>400</v>
      </c>
      <c r="E85" s="124">
        <f>L50</f>
        <v>12.038095238095238</v>
      </c>
      <c r="F85" s="125">
        <f>J50</f>
        <v>159.23809523809521</v>
      </c>
      <c r="G85" s="126">
        <f t="shared" si="37"/>
        <v>13.22784810126582</v>
      </c>
      <c r="H85" s="127">
        <f t="shared" si="38"/>
        <v>1.0805577748764281</v>
      </c>
      <c r="I85" s="128">
        <f t="shared" si="38"/>
        <v>2.2020469740330593</v>
      </c>
      <c r="AA85" s="163"/>
      <c r="AB85" s="163"/>
      <c r="AE85" s="123"/>
      <c r="AF85" s="124">
        <v>400</v>
      </c>
      <c r="AG85" s="124">
        <f>AM50</f>
        <v>10.419047619047619</v>
      </c>
      <c r="AH85" s="125">
        <f>AK50</f>
        <v>191.61904761904762</v>
      </c>
      <c r="AI85" s="126">
        <f t="shared" si="39"/>
        <v>18.391224862888482</v>
      </c>
      <c r="AJ85" s="127">
        <f t="shared" si="40"/>
        <v>1.0178280229274739</v>
      </c>
      <c r="AK85" s="128">
        <f t="shared" si="41"/>
        <v>2.2824386773139516</v>
      </c>
    </row>
    <row r="86" spans="3:37" x14ac:dyDescent="0.25">
      <c r="C86" s="129"/>
      <c r="D86" s="130">
        <v>500</v>
      </c>
      <c r="E86" s="130">
        <f>X50</f>
        <v>12.133333333333333</v>
      </c>
      <c r="F86" s="131">
        <f>V50</f>
        <v>257.33333333333337</v>
      </c>
      <c r="G86" s="132">
        <f t="shared" si="37"/>
        <v>21.208791208791212</v>
      </c>
      <c r="H86" s="133">
        <f t="shared" si="38"/>
        <v>1.0839801289293935</v>
      </c>
      <c r="I86" s="134">
        <f t="shared" si="38"/>
        <v>2.4104960456160738</v>
      </c>
      <c r="AA86" s="163"/>
      <c r="AB86" s="163"/>
      <c r="AE86" s="129"/>
      <c r="AF86" s="130">
        <v>500</v>
      </c>
      <c r="AG86" s="130">
        <f>AZ50</f>
        <v>10.180952380952384</v>
      </c>
      <c r="AH86" s="131">
        <f>AX50</f>
        <v>296.38095238095235</v>
      </c>
      <c r="AI86" s="132">
        <f t="shared" si="39"/>
        <v>29.111318989709996</v>
      </c>
      <c r="AJ86" s="133">
        <f t="shared" si="40"/>
        <v>1.00778840613884</v>
      </c>
      <c r="AK86" s="134">
        <f t="shared" si="41"/>
        <v>2.4718502892477132</v>
      </c>
    </row>
    <row r="87" spans="3:37" x14ac:dyDescent="0.25">
      <c r="C87" s="117">
        <v>40</v>
      </c>
      <c r="D87" s="118">
        <v>150</v>
      </c>
      <c r="E87" s="118">
        <f>L39</f>
        <v>5.8476190476190482</v>
      </c>
      <c r="F87" s="119">
        <f>J39</f>
        <v>33.047619047619044</v>
      </c>
      <c r="G87" s="120">
        <f t="shared" si="37"/>
        <v>5.6514657980456011</v>
      </c>
      <c r="H87" s="121">
        <f t="shared" si="38"/>
        <v>0.76697907207122962</v>
      </c>
      <c r="I87" s="122">
        <f t="shared" si="38"/>
        <v>1.5191401757209355</v>
      </c>
      <c r="AA87" s="163"/>
      <c r="AB87" s="163"/>
      <c r="AE87" s="117">
        <v>40</v>
      </c>
      <c r="AF87" s="118">
        <v>150</v>
      </c>
      <c r="AG87" s="118">
        <f>AM39</f>
        <v>5.5142857142857151</v>
      </c>
      <c r="AH87" s="119">
        <f>AK39</f>
        <v>39.714285714285715</v>
      </c>
      <c r="AI87" s="120">
        <f t="shared" si="39"/>
        <v>7.2020725388601026</v>
      </c>
      <c r="AJ87" s="121">
        <f t="shared" si="40"/>
        <v>0.7414892646574982</v>
      </c>
      <c r="AK87" s="122">
        <f t="shared" si="41"/>
        <v>1.5989467559038195</v>
      </c>
    </row>
    <row r="88" spans="3:37" x14ac:dyDescent="0.25">
      <c r="C88" s="123"/>
      <c r="D88" s="124">
        <v>300</v>
      </c>
      <c r="E88" s="124">
        <f>X39</f>
        <v>10.252380952380953</v>
      </c>
      <c r="F88" s="125">
        <f>V39</f>
        <v>94.952380952380963</v>
      </c>
      <c r="G88" s="126">
        <f t="shared" si="37"/>
        <v>9.2614955875522522</v>
      </c>
      <c r="H88" s="127">
        <f t="shared" si="38"/>
        <v>1.010824735089568</v>
      </c>
      <c r="I88" s="128">
        <f t="shared" si="38"/>
        <v>1.9775058592417176</v>
      </c>
      <c r="AA88" s="163"/>
      <c r="AB88" s="163"/>
      <c r="AE88" s="123"/>
      <c r="AF88" s="124">
        <v>300</v>
      </c>
      <c r="AG88" s="124">
        <f>AZ39</f>
        <v>8.9190476190476193</v>
      </c>
      <c r="AH88" s="125">
        <f>AX39</f>
        <v>121.61904761904763</v>
      </c>
      <c r="AI88" s="126">
        <f t="shared" si="39"/>
        <v>13.635878270154834</v>
      </c>
      <c r="AJ88" s="127">
        <f t="shared" si="40"/>
        <v>0.95031848264131813</v>
      </c>
      <c r="AK88" s="128">
        <f t="shared" si="41"/>
        <v>2.0850015981934771</v>
      </c>
    </row>
    <row r="89" spans="3:37" x14ac:dyDescent="0.25">
      <c r="C89" s="123"/>
      <c r="D89" s="124">
        <v>400</v>
      </c>
      <c r="E89" s="124">
        <f>L54</f>
        <v>12.585714285714287</v>
      </c>
      <c r="F89" s="125">
        <f>J54</f>
        <v>148.28571428571431</v>
      </c>
      <c r="G89" s="126">
        <f t="shared" si="37"/>
        <v>11.782065834279228</v>
      </c>
      <c r="H89" s="127">
        <f t="shared" si="38"/>
        <v>1.0998778683977912</v>
      </c>
      <c r="I89" s="128">
        <f t="shared" si="38"/>
        <v>2.1710993134981824</v>
      </c>
      <c r="AA89" s="163"/>
      <c r="AB89" s="163"/>
      <c r="AE89" s="123"/>
      <c r="AF89" s="124">
        <v>400</v>
      </c>
      <c r="AG89" s="124">
        <f>AM54</f>
        <v>10.919047619047618</v>
      </c>
      <c r="AH89" s="125">
        <f>AK54</f>
        <v>181.61904761904768</v>
      </c>
      <c r="AI89" s="126">
        <f t="shared" si="39"/>
        <v>16.633231574356746</v>
      </c>
      <c r="AJ89" s="127">
        <f t="shared" si="40"/>
        <v>1.0381847599960194</v>
      </c>
      <c r="AK89" s="128">
        <f t="shared" si="41"/>
        <v>2.2591613939760675</v>
      </c>
    </row>
    <row r="90" spans="3:37" x14ac:dyDescent="0.25">
      <c r="C90" s="129"/>
      <c r="D90" s="130">
        <v>500</v>
      </c>
      <c r="E90" s="130">
        <f>X54</f>
        <v>12.657142857142858</v>
      </c>
      <c r="F90" s="131">
        <f>V54</f>
        <v>246.85714285714289</v>
      </c>
      <c r="G90" s="132">
        <f t="shared" si="37"/>
        <v>19.503386004514674</v>
      </c>
      <c r="H90" s="133">
        <f t="shared" si="38"/>
        <v>1.1023356818727941</v>
      </c>
      <c r="I90" s="134">
        <f t="shared" si="38"/>
        <v>2.3924456981286175</v>
      </c>
      <c r="AA90" s="163"/>
      <c r="AB90" s="163"/>
      <c r="AE90" s="129"/>
      <c r="AF90" s="130">
        <v>500</v>
      </c>
      <c r="AG90" s="130">
        <f>AZ54</f>
        <v>11.228571428571428</v>
      </c>
      <c r="AH90" s="131">
        <f>AX54</f>
        <v>275.42857142857139</v>
      </c>
      <c r="AI90" s="132">
        <f t="shared" si="39"/>
        <v>24.529262086513992</v>
      </c>
      <c r="AJ90" s="133">
        <f t="shared" si="40"/>
        <v>1.0503245060251509</v>
      </c>
      <c r="AK90" s="134">
        <f t="shared" si="41"/>
        <v>2.4400089895525552</v>
      </c>
    </row>
    <row r="91" spans="3:37" x14ac:dyDescent="0.25">
      <c r="C91" s="117">
        <v>50</v>
      </c>
      <c r="D91" s="135">
        <v>150</v>
      </c>
      <c r="E91" s="135">
        <f>L43</f>
        <v>6.2761904761904761</v>
      </c>
      <c r="F91" s="125">
        <f>J43</f>
        <v>24.476190476190478</v>
      </c>
      <c r="G91" s="126">
        <f t="shared" si="37"/>
        <v>3.8998482549317153</v>
      </c>
      <c r="H91" s="127">
        <f t="shared" si="38"/>
        <v>0.79769611552407182</v>
      </c>
      <c r="I91" s="128">
        <f t="shared" si="38"/>
        <v>1.3887438242613566</v>
      </c>
      <c r="AA91" s="163"/>
      <c r="AB91" s="163"/>
      <c r="AE91" s="117">
        <v>50</v>
      </c>
      <c r="AF91" s="135">
        <v>150</v>
      </c>
      <c r="AG91" s="135">
        <f>AM43</f>
        <v>5.8476190476190482</v>
      </c>
      <c r="AH91" s="125">
        <f>AK43</f>
        <v>33.047619047619044</v>
      </c>
      <c r="AI91" s="126">
        <f t="shared" si="39"/>
        <v>5.6514657980456011</v>
      </c>
      <c r="AJ91" s="127">
        <f t="shared" si="40"/>
        <v>0.76697907207122962</v>
      </c>
      <c r="AK91" s="128">
        <f t="shared" si="41"/>
        <v>1.5191401757209355</v>
      </c>
    </row>
    <row r="92" spans="3:37" x14ac:dyDescent="0.25">
      <c r="C92" s="123"/>
      <c r="D92" s="135">
        <v>300</v>
      </c>
      <c r="E92" s="135">
        <f>X43</f>
        <v>11.061904761904763</v>
      </c>
      <c r="F92" s="125">
        <f>V43</f>
        <v>78.761904761904773</v>
      </c>
      <c r="G92" s="126">
        <f t="shared" si="37"/>
        <v>7.1201033146792945</v>
      </c>
      <c r="H92" s="127">
        <f t="shared" si="38"/>
        <v>1.0438299150663162</v>
      </c>
      <c r="I92" s="128">
        <f t="shared" si="38"/>
        <v>1.8963162104826086</v>
      </c>
      <c r="AA92" s="163"/>
      <c r="AB92" s="163"/>
      <c r="AE92" s="123"/>
      <c r="AF92" s="135">
        <v>300</v>
      </c>
      <c r="AG92" s="135">
        <f>AZ43</f>
        <v>9.5380952380952397</v>
      </c>
      <c r="AH92" s="125">
        <f>AX43</f>
        <v>109.23809523809524</v>
      </c>
      <c r="AI92" s="126">
        <f t="shared" si="39"/>
        <v>11.452820768846728</v>
      </c>
      <c r="AJ92" s="127">
        <f t="shared" si="40"/>
        <v>0.97946165455965706</v>
      </c>
      <c r="AK92" s="128">
        <f t="shared" si="41"/>
        <v>2.0383741188313298</v>
      </c>
    </row>
    <row r="93" spans="3:37" x14ac:dyDescent="0.25">
      <c r="C93" s="123"/>
      <c r="D93" s="135">
        <v>400</v>
      </c>
      <c r="E93" s="135">
        <f>L58</f>
        <v>13.03809523809524</v>
      </c>
      <c r="F93" s="125">
        <f>J58</f>
        <v>139.23809523809527</v>
      </c>
      <c r="G93" s="126">
        <f t="shared" si="37"/>
        <v>10.679327976625276</v>
      </c>
      <c r="H93" s="127">
        <f t="shared" si="38"/>
        <v>1.1152141490640519</v>
      </c>
      <c r="I93" s="128">
        <f t="shared" si="38"/>
        <v>2.1437580735519037</v>
      </c>
      <c r="AA93" s="163"/>
      <c r="AB93" s="163"/>
      <c r="AE93" s="123"/>
      <c r="AF93" s="135">
        <v>400</v>
      </c>
      <c r="AG93" s="135">
        <f>AM58</f>
        <v>11.680952380952382</v>
      </c>
      <c r="AH93" s="125">
        <f>AK58</f>
        <v>166.38095238095238</v>
      </c>
      <c r="AI93" s="126">
        <f t="shared" si="39"/>
        <v>14.243783122706889</v>
      </c>
      <c r="AJ93" s="127">
        <f t="shared" si="40"/>
        <v>1.0674782534724665</v>
      </c>
      <c r="AK93" s="128">
        <f t="shared" si="41"/>
        <v>2.2211036059129929</v>
      </c>
    </row>
    <row r="94" spans="3:37" x14ac:dyDescent="0.25">
      <c r="C94" s="129"/>
      <c r="D94" s="130">
        <v>500</v>
      </c>
      <c r="E94" s="130">
        <f>X58</f>
        <v>13.490476190476192</v>
      </c>
      <c r="F94" s="131">
        <f>V58</f>
        <v>230.19047619047618</v>
      </c>
      <c r="G94" s="132">
        <f t="shared" si="37"/>
        <v>17.063183903988701</v>
      </c>
      <c r="H94" s="133">
        <f t="shared" si="38"/>
        <v>1.1300272797865181</v>
      </c>
      <c r="I94" s="134">
        <f t="shared" si="38"/>
        <v>2.3620873513377121</v>
      </c>
      <c r="AA94" s="163"/>
      <c r="AB94" s="163"/>
      <c r="AE94" s="129"/>
      <c r="AF94" s="130">
        <v>500</v>
      </c>
      <c r="AG94" s="130">
        <f>AZ58</f>
        <v>11.919047619047618</v>
      </c>
      <c r="AH94" s="131">
        <f>AX58</f>
        <v>261.61904761904765</v>
      </c>
      <c r="AI94" s="132">
        <f t="shared" si="39"/>
        <v>21.949660407510994</v>
      </c>
      <c r="AJ94" s="133">
        <f t="shared" si="40"/>
        <v>1.0762415548743038</v>
      </c>
      <c r="AK94" s="134">
        <f t="shared" si="41"/>
        <v>2.4176693603506241</v>
      </c>
    </row>
    <row r="95" spans="3:37" x14ac:dyDescent="0.25">
      <c r="AA95" s="163"/>
      <c r="AB95" s="163"/>
    </row>
    <row r="96" spans="3:37" x14ac:dyDescent="0.25">
      <c r="AA96" s="163"/>
      <c r="AB96" s="163"/>
    </row>
    <row r="97" spans="3:28" x14ac:dyDescent="0.25">
      <c r="AA97" s="163"/>
      <c r="AB97" s="163"/>
    </row>
    <row r="98" spans="3:28" x14ac:dyDescent="0.25">
      <c r="AA98" s="163"/>
      <c r="AB98" s="163"/>
    </row>
    <row r="99" spans="3:28" ht="15.75" x14ac:dyDescent="0.25">
      <c r="C99" s="313" t="s">
        <v>62</v>
      </c>
      <c r="D99" s="314"/>
      <c r="E99" s="314"/>
      <c r="F99" s="314"/>
      <c r="G99" s="314"/>
      <c r="H99" s="314"/>
      <c r="I99" s="314"/>
      <c r="J99" s="314"/>
      <c r="K99" s="314"/>
      <c r="L99" s="314"/>
      <c r="M99" s="314"/>
      <c r="N99" s="315"/>
      <c r="AA99" s="163"/>
      <c r="AB99" s="163"/>
    </row>
    <row r="100" spans="3:28" x14ac:dyDescent="0.25">
      <c r="C100" s="307" t="s">
        <v>47</v>
      </c>
      <c r="D100" s="308"/>
      <c r="E100" s="308"/>
      <c r="F100" s="309"/>
      <c r="G100" s="304" t="s">
        <v>48</v>
      </c>
      <c r="H100" s="305"/>
      <c r="I100" s="305"/>
      <c r="J100" s="306"/>
      <c r="K100" s="310" t="s">
        <v>49</v>
      </c>
      <c r="L100" s="311"/>
      <c r="M100" s="311"/>
      <c r="N100" s="312"/>
      <c r="AA100" s="163"/>
      <c r="AB100" s="163"/>
    </row>
    <row r="101" spans="3:28" x14ac:dyDescent="0.25">
      <c r="C101" s="197"/>
      <c r="D101" s="203"/>
      <c r="E101" s="203" t="s">
        <v>60</v>
      </c>
      <c r="F101" s="203" t="s">
        <v>61</v>
      </c>
      <c r="G101" s="204" t="s">
        <v>60</v>
      </c>
      <c r="H101" s="204" t="s">
        <v>61</v>
      </c>
      <c r="I101" s="204" t="s">
        <v>60</v>
      </c>
      <c r="J101" s="204" t="s">
        <v>61</v>
      </c>
      <c r="K101" s="207" t="s">
        <v>60</v>
      </c>
      <c r="L101" s="207" t="s">
        <v>61</v>
      </c>
      <c r="M101" s="207" t="s">
        <v>60</v>
      </c>
      <c r="N101" s="207" t="s">
        <v>61</v>
      </c>
      <c r="AA101" s="163"/>
      <c r="AB101" s="163"/>
    </row>
    <row r="102" spans="3:28" ht="18" x14ac:dyDescent="0.35">
      <c r="C102" s="89" t="s">
        <v>1</v>
      </c>
      <c r="D102" s="53" t="s">
        <v>50</v>
      </c>
      <c r="E102" s="53" t="s">
        <v>32</v>
      </c>
      <c r="F102" s="53" t="s">
        <v>32</v>
      </c>
      <c r="G102" s="100" t="s">
        <v>51</v>
      </c>
      <c r="H102" s="100" t="s">
        <v>51</v>
      </c>
      <c r="I102" s="100" t="s">
        <v>52</v>
      </c>
      <c r="J102" s="100" t="s">
        <v>52</v>
      </c>
      <c r="K102" s="47" t="s">
        <v>53</v>
      </c>
      <c r="L102" s="47" t="s">
        <v>53</v>
      </c>
      <c r="M102" s="47" t="s">
        <v>54</v>
      </c>
      <c r="N102" s="47" t="s">
        <v>54</v>
      </c>
      <c r="AA102" s="163"/>
      <c r="AB102" s="163"/>
    </row>
    <row r="103" spans="3:28" x14ac:dyDescent="0.25">
      <c r="C103" s="200">
        <v>30</v>
      </c>
      <c r="D103" s="92">
        <v>150</v>
      </c>
      <c r="E103" s="92">
        <f t="shared" ref="E103:E114" si="42">E83</f>
        <v>5.1809523809523812</v>
      </c>
      <c r="F103" s="92">
        <f>AG83</f>
        <v>4.9428571428571431</v>
      </c>
      <c r="G103" s="101">
        <f t="shared" ref="G103:G114" si="43">F83</f>
        <v>46.380952380952387</v>
      </c>
      <c r="H103" s="101">
        <f>AH83</f>
        <v>51.142857142857139</v>
      </c>
      <c r="I103" s="101">
        <f t="shared" ref="I103:I114" si="44">G83</f>
        <v>8.952205882352942</v>
      </c>
      <c r="J103" s="101">
        <f>AI83</f>
        <v>10.346820809248554</v>
      </c>
      <c r="K103" s="48">
        <f t="shared" ref="K103:K114" si="45">H83</f>
        <v>0.71440960062824188</v>
      </c>
      <c r="L103" s="48">
        <f>AJ83</f>
        <v>0.69397805877851981</v>
      </c>
      <c r="M103" s="48">
        <f t="shared" ref="M103:M114" si="46">I83</f>
        <v>1.6663396621446964</v>
      </c>
      <c r="N103" s="48">
        <f>AK83</f>
        <v>1.7087849866296174</v>
      </c>
      <c r="AA103" s="163"/>
      <c r="AB103" s="163"/>
    </row>
    <row r="104" spans="3:28" x14ac:dyDescent="0.25">
      <c r="C104" s="201"/>
      <c r="D104" s="92">
        <v>300</v>
      </c>
      <c r="E104" s="92">
        <f t="shared" si="42"/>
        <v>9.6095238095238109</v>
      </c>
      <c r="F104" s="92">
        <f t="shared" ref="F104:F106" si="47">AG84</f>
        <v>8.2999999999999989</v>
      </c>
      <c r="G104" s="101">
        <f t="shared" si="43"/>
        <v>107.80952380952381</v>
      </c>
      <c r="H104" s="101">
        <f t="shared" ref="H104:H106" si="48">AH84</f>
        <v>134</v>
      </c>
      <c r="I104" s="101">
        <f t="shared" si="44"/>
        <v>11.219028741328046</v>
      </c>
      <c r="J104" s="101">
        <f t="shared" ref="J104:J106" si="49">AI84</f>
        <v>16.144578313253014</v>
      </c>
      <c r="K104" s="48">
        <f t="shared" si="45"/>
        <v>0.9827018671669725</v>
      </c>
      <c r="L104" s="48">
        <f t="shared" ref="L104:L106" si="50">AJ84</f>
        <v>0.91907809237607385</v>
      </c>
      <c r="M104" s="48">
        <f t="shared" si="46"/>
        <v>2.0326571277823144</v>
      </c>
      <c r="N104" s="48">
        <f t="shared" ref="N104:N106" si="51">AK84</f>
        <v>2.1271047983648077</v>
      </c>
      <c r="AA104" s="163"/>
      <c r="AB104" s="163"/>
    </row>
    <row r="105" spans="3:28" x14ac:dyDescent="0.25">
      <c r="C105" s="201"/>
      <c r="D105" s="92">
        <v>400</v>
      </c>
      <c r="E105" s="92">
        <f t="shared" si="42"/>
        <v>12.038095238095238</v>
      </c>
      <c r="F105" s="92">
        <f t="shared" si="47"/>
        <v>10.419047619047619</v>
      </c>
      <c r="G105" s="101">
        <f t="shared" si="43"/>
        <v>159.23809523809521</v>
      </c>
      <c r="H105" s="101">
        <f t="shared" si="48"/>
        <v>191.61904761904762</v>
      </c>
      <c r="I105" s="101">
        <f t="shared" si="44"/>
        <v>13.22784810126582</v>
      </c>
      <c r="J105" s="101">
        <f t="shared" si="49"/>
        <v>18.391224862888482</v>
      </c>
      <c r="K105" s="48">
        <f t="shared" si="45"/>
        <v>1.0805577748764281</v>
      </c>
      <c r="L105" s="48">
        <f t="shared" si="50"/>
        <v>1.0178280229274739</v>
      </c>
      <c r="M105" s="48">
        <f t="shared" si="46"/>
        <v>2.2020469740330593</v>
      </c>
      <c r="N105" s="48">
        <f t="shared" si="51"/>
        <v>2.2824386773139516</v>
      </c>
      <c r="AA105" s="163"/>
      <c r="AB105" s="163"/>
    </row>
    <row r="106" spans="3:28" x14ac:dyDescent="0.25">
      <c r="C106" s="202"/>
      <c r="D106" s="92">
        <v>500</v>
      </c>
      <c r="E106" s="92">
        <f t="shared" si="42"/>
        <v>12.133333333333333</v>
      </c>
      <c r="F106" s="92">
        <f t="shared" si="47"/>
        <v>10.180952380952384</v>
      </c>
      <c r="G106" s="101">
        <f t="shared" si="43"/>
        <v>257.33333333333337</v>
      </c>
      <c r="H106" s="101">
        <f t="shared" si="48"/>
        <v>296.38095238095235</v>
      </c>
      <c r="I106" s="101">
        <f t="shared" si="44"/>
        <v>21.208791208791212</v>
      </c>
      <c r="J106" s="101">
        <f t="shared" si="49"/>
        <v>29.111318989709996</v>
      </c>
      <c r="K106" s="48">
        <f t="shared" si="45"/>
        <v>1.0839801289293935</v>
      </c>
      <c r="L106" s="48">
        <f t="shared" si="50"/>
        <v>1.00778840613884</v>
      </c>
      <c r="M106" s="48">
        <f t="shared" si="46"/>
        <v>2.4104960456160738</v>
      </c>
      <c r="N106" s="48">
        <f t="shared" si="51"/>
        <v>2.4718502892477132</v>
      </c>
      <c r="AA106" s="163"/>
      <c r="AB106" s="163"/>
    </row>
    <row r="107" spans="3:28" x14ac:dyDescent="0.25">
      <c r="C107" s="200">
        <v>40</v>
      </c>
      <c r="D107" s="92">
        <v>150</v>
      </c>
      <c r="E107" s="92">
        <f t="shared" si="42"/>
        <v>5.8476190476190482</v>
      </c>
      <c r="F107" s="92">
        <f>AG87</f>
        <v>5.5142857142857151</v>
      </c>
      <c r="G107" s="101">
        <f t="shared" si="43"/>
        <v>33.047619047619044</v>
      </c>
      <c r="H107" s="101">
        <f>AH87</f>
        <v>39.714285714285715</v>
      </c>
      <c r="I107" s="101">
        <f t="shared" si="44"/>
        <v>5.6514657980456011</v>
      </c>
      <c r="J107" s="101">
        <f>AI87</f>
        <v>7.2020725388601026</v>
      </c>
      <c r="K107" s="48">
        <f t="shared" si="45"/>
        <v>0.76697907207122962</v>
      </c>
      <c r="L107" s="48">
        <f>AJ87</f>
        <v>0.7414892646574982</v>
      </c>
      <c r="M107" s="48">
        <f t="shared" si="46"/>
        <v>1.5191401757209355</v>
      </c>
      <c r="N107" s="48">
        <f>AK87</f>
        <v>1.5989467559038195</v>
      </c>
      <c r="AA107" s="163"/>
      <c r="AB107" s="163"/>
    </row>
    <row r="108" spans="3:28" x14ac:dyDescent="0.25">
      <c r="C108" s="201"/>
      <c r="D108" s="92">
        <v>300</v>
      </c>
      <c r="E108" s="92">
        <f t="shared" si="42"/>
        <v>10.252380952380953</v>
      </c>
      <c r="F108" s="92">
        <f t="shared" ref="F108:F110" si="52">AG88</f>
        <v>8.9190476190476193</v>
      </c>
      <c r="G108" s="101">
        <f t="shared" si="43"/>
        <v>94.952380952380963</v>
      </c>
      <c r="H108" s="101">
        <f t="shared" ref="H108:H110" si="53">AH88</f>
        <v>121.61904761904763</v>
      </c>
      <c r="I108" s="101">
        <f t="shared" si="44"/>
        <v>9.2614955875522522</v>
      </c>
      <c r="J108" s="101">
        <f t="shared" ref="J108:J110" si="54">AI88</f>
        <v>13.635878270154834</v>
      </c>
      <c r="K108" s="48">
        <f t="shared" si="45"/>
        <v>1.010824735089568</v>
      </c>
      <c r="L108" s="48">
        <f t="shared" ref="L108:L110" si="55">AJ88</f>
        <v>0.95031848264131813</v>
      </c>
      <c r="M108" s="48">
        <f t="shared" si="46"/>
        <v>1.9775058592417176</v>
      </c>
      <c r="N108" s="48">
        <f t="shared" ref="N108:N110" si="56">AK88</f>
        <v>2.0850015981934771</v>
      </c>
      <c r="AA108" s="163"/>
      <c r="AB108" s="163"/>
    </row>
    <row r="109" spans="3:28" x14ac:dyDescent="0.25">
      <c r="C109" s="201"/>
      <c r="D109" s="92">
        <v>400</v>
      </c>
      <c r="E109" s="92">
        <f t="shared" si="42"/>
        <v>12.585714285714287</v>
      </c>
      <c r="F109" s="92">
        <f t="shared" si="52"/>
        <v>10.919047619047618</v>
      </c>
      <c r="G109" s="101">
        <f t="shared" si="43"/>
        <v>148.28571428571431</v>
      </c>
      <c r="H109" s="101">
        <f t="shared" si="53"/>
        <v>181.61904761904768</v>
      </c>
      <c r="I109" s="101">
        <f t="shared" si="44"/>
        <v>11.782065834279228</v>
      </c>
      <c r="J109" s="101">
        <f t="shared" si="54"/>
        <v>16.633231574356746</v>
      </c>
      <c r="K109" s="48">
        <f t="shared" si="45"/>
        <v>1.0998778683977912</v>
      </c>
      <c r="L109" s="48">
        <f t="shared" si="55"/>
        <v>1.0381847599960194</v>
      </c>
      <c r="M109" s="48">
        <f t="shared" si="46"/>
        <v>2.1710993134981824</v>
      </c>
      <c r="N109" s="48">
        <f t="shared" si="56"/>
        <v>2.2591613939760675</v>
      </c>
      <c r="AA109" s="163"/>
      <c r="AB109" s="163"/>
    </row>
    <row r="110" spans="3:28" x14ac:dyDescent="0.25">
      <c r="C110" s="202"/>
      <c r="D110" s="92">
        <v>500</v>
      </c>
      <c r="E110" s="92">
        <f t="shared" si="42"/>
        <v>12.657142857142858</v>
      </c>
      <c r="F110" s="92">
        <f t="shared" si="52"/>
        <v>11.228571428571428</v>
      </c>
      <c r="G110" s="101">
        <f t="shared" si="43"/>
        <v>246.85714285714289</v>
      </c>
      <c r="H110" s="101">
        <f t="shared" si="53"/>
        <v>275.42857142857139</v>
      </c>
      <c r="I110" s="101">
        <f t="shared" si="44"/>
        <v>19.503386004514674</v>
      </c>
      <c r="J110" s="101">
        <f t="shared" si="54"/>
        <v>24.529262086513992</v>
      </c>
      <c r="K110" s="48">
        <f t="shared" si="45"/>
        <v>1.1023356818727941</v>
      </c>
      <c r="L110" s="48">
        <f t="shared" si="55"/>
        <v>1.0503245060251509</v>
      </c>
      <c r="M110" s="48">
        <f t="shared" si="46"/>
        <v>2.3924456981286175</v>
      </c>
      <c r="N110" s="48">
        <f t="shared" si="56"/>
        <v>2.4400089895525552</v>
      </c>
      <c r="AA110" s="163"/>
      <c r="AB110" s="163"/>
    </row>
    <row r="111" spans="3:28" x14ac:dyDescent="0.25">
      <c r="C111" s="200">
        <v>50</v>
      </c>
      <c r="D111" s="92">
        <v>150</v>
      </c>
      <c r="E111" s="92">
        <f t="shared" si="42"/>
        <v>6.2761904761904761</v>
      </c>
      <c r="F111" s="92">
        <f>AG91</f>
        <v>5.8476190476190482</v>
      </c>
      <c r="G111" s="101">
        <f t="shared" si="43"/>
        <v>24.476190476190478</v>
      </c>
      <c r="H111" s="101">
        <f>AH91</f>
        <v>33.047619047619044</v>
      </c>
      <c r="I111" s="101">
        <f t="shared" si="44"/>
        <v>3.8998482549317153</v>
      </c>
      <c r="J111" s="101">
        <f>AI91</f>
        <v>5.6514657980456011</v>
      </c>
      <c r="K111" s="48">
        <f t="shared" si="45"/>
        <v>0.79769611552407182</v>
      </c>
      <c r="L111" s="48">
        <f>AJ91</f>
        <v>0.76697907207122962</v>
      </c>
      <c r="M111" s="48">
        <f t="shared" si="46"/>
        <v>1.3887438242613566</v>
      </c>
      <c r="N111" s="48">
        <f>AK91</f>
        <v>1.5191401757209355</v>
      </c>
      <c r="AA111" s="163"/>
      <c r="AB111" s="163"/>
    </row>
    <row r="112" spans="3:28" x14ac:dyDescent="0.25">
      <c r="C112" s="201"/>
      <c r="D112" s="92">
        <v>300</v>
      </c>
      <c r="E112" s="92">
        <f t="shared" si="42"/>
        <v>11.061904761904763</v>
      </c>
      <c r="F112" s="92">
        <f t="shared" ref="F112:F114" si="57">AG92</f>
        <v>9.5380952380952397</v>
      </c>
      <c r="G112" s="101">
        <f t="shared" si="43"/>
        <v>78.761904761904773</v>
      </c>
      <c r="H112" s="101">
        <f t="shared" ref="H112:H114" si="58">AH92</f>
        <v>109.23809523809524</v>
      </c>
      <c r="I112" s="101">
        <f t="shared" si="44"/>
        <v>7.1201033146792945</v>
      </c>
      <c r="J112" s="101">
        <f t="shared" ref="J112:J114" si="59">AI92</f>
        <v>11.452820768846728</v>
      </c>
      <c r="K112" s="48">
        <f t="shared" si="45"/>
        <v>1.0438299150663162</v>
      </c>
      <c r="L112" s="48">
        <f t="shared" ref="L112:L114" si="60">AJ92</f>
        <v>0.97946165455965706</v>
      </c>
      <c r="M112" s="48">
        <f t="shared" si="46"/>
        <v>1.8963162104826086</v>
      </c>
      <c r="N112" s="48">
        <f t="shared" ref="N112:N114" si="61">AK92</f>
        <v>2.0383741188313298</v>
      </c>
      <c r="AA112" s="163"/>
      <c r="AB112" s="163"/>
    </row>
    <row r="113" spans="2:28" x14ac:dyDescent="0.25">
      <c r="C113" s="201"/>
      <c r="D113" s="92">
        <v>400</v>
      </c>
      <c r="E113" s="92">
        <f t="shared" si="42"/>
        <v>13.03809523809524</v>
      </c>
      <c r="F113" s="92">
        <f t="shared" si="57"/>
        <v>11.680952380952382</v>
      </c>
      <c r="G113" s="101">
        <f t="shared" si="43"/>
        <v>139.23809523809527</v>
      </c>
      <c r="H113" s="101">
        <f t="shared" si="58"/>
        <v>166.38095238095238</v>
      </c>
      <c r="I113" s="101">
        <f t="shared" si="44"/>
        <v>10.679327976625276</v>
      </c>
      <c r="J113" s="101">
        <f t="shared" si="59"/>
        <v>14.243783122706889</v>
      </c>
      <c r="K113" s="48">
        <f t="shared" si="45"/>
        <v>1.1152141490640519</v>
      </c>
      <c r="L113" s="48">
        <f t="shared" si="60"/>
        <v>1.0674782534724665</v>
      </c>
      <c r="M113" s="48">
        <f t="shared" si="46"/>
        <v>2.1437580735519037</v>
      </c>
      <c r="N113" s="48">
        <f t="shared" si="61"/>
        <v>2.2211036059129929</v>
      </c>
      <c r="AA113" s="163"/>
      <c r="AB113" s="163"/>
    </row>
    <row r="114" spans="2:28" x14ac:dyDescent="0.25">
      <c r="C114" s="202"/>
      <c r="D114" s="92">
        <v>500</v>
      </c>
      <c r="E114" s="92">
        <f t="shared" si="42"/>
        <v>13.490476190476192</v>
      </c>
      <c r="F114" s="92">
        <f t="shared" si="57"/>
        <v>11.919047619047618</v>
      </c>
      <c r="G114" s="101">
        <f t="shared" si="43"/>
        <v>230.19047619047618</v>
      </c>
      <c r="H114" s="101">
        <f t="shared" si="58"/>
        <v>261.61904761904765</v>
      </c>
      <c r="I114" s="101">
        <f t="shared" si="44"/>
        <v>17.063183903988701</v>
      </c>
      <c r="J114" s="101">
        <f t="shared" si="59"/>
        <v>21.949660407510994</v>
      </c>
      <c r="K114" s="48">
        <f t="shared" si="45"/>
        <v>1.1300272797865181</v>
      </c>
      <c r="L114" s="48">
        <f t="shared" si="60"/>
        <v>1.0762415548743038</v>
      </c>
      <c r="M114" s="48">
        <f t="shared" si="46"/>
        <v>2.3620873513377121</v>
      </c>
      <c r="N114" s="48">
        <f t="shared" si="61"/>
        <v>2.4176693603506241</v>
      </c>
      <c r="AA114" s="163"/>
      <c r="AB114" s="163"/>
    </row>
    <row r="115" spans="2:28" x14ac:dyDescent="0.25">
      <c r="C115" s="208"/>
      <c r="D115" s="21"/>
      <c r="F115" s="21"/>
      <c r="G115" s="21"/>
      <c r="H115" s="21"/>
      <c r="I115" s="21"/>
      <c r="J115" s="21"/>
      <c r="K115" s="21"/>
      <c r="L115" s="21"/>
      <c r="M115" s="21"/>
      <c r="N115" s="21"/>
      <c r="AA115" s="163"/>
      <c r="AB115" s="163"/>
    </row>
    <row r="116" spans="2:28" x14ac:dyDescent="0.25">
      <c r="C116" s="208"/>
      <c r="D116" s="21"/>
      <c r="E116" s="21"/>
      <c r="F116" s="21"/>
      <c r="G116" s="21"/>
      <c r="H116" s="21" t="s">
        <v>75</v>
      </c>
      <c r="I116" s="21"/>
      <c r="J116" s="21"/>
      <c r="K116" s="21"/>
      <c r="L116" s="21"/>
      <c r="M116" s="21"/>
      <c r="N116" s="21"/>
      <c r="AA116" s="163"/>
      <c r="AB116" s="163"/>
    </row>
    <row r="117" spans="2:28" x14ac:dyDescent="0.25">
      <c r="C117" s="208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AA117" s="163"/>
      <c r="AB117" s="163"/>
    </row>
    <row r="118" spans="2:28" x14ac:dyDescent="0.25">
      <c r="C118" s="117" t="s">
        <v>63</v>
      </c>
      <c r="D118" s="281" t="s">
        <v>64</v>
      </c>
      <c r="E118" s="282"/>
      <c r="F118" s="282"/>
      <c r="G118" s="282"/>
      <c r="H118" s="283"/>
      <c r="I118" s="100"/>
      <c r="J118" s="267" t="s">
        <v>65</v>
      </c>
      <c r="K118" s="268"/>
      <c r="L118" s="268"/>
      <c r="M118" s="268"/>
      <c r="N118" s="205"/>
      <c r="AA118" s="163"/>
      <c r="AB118" s="163"/>
    </row>
    <row r="119" spans="2:28" ht="18.75" x14ac:dyDescent="0.35">
      <c r="C119" s="129"/>
      <c r="D119" s="136" t="s">
        <v>66</v>
      </c>
      <c r="E119" s="165" t="s">
        <v>67</v>
      </c>
      <c r="F119" s="209" t="s">
        <v>68</v>
      </c>
      <c r="G119" s="100" t="s">
        <v>69</v>
      </c>
      <c r="H119" s="100" t="s">
        <v>111</v>
      </c>
      <c r="I119" s="100" t="s">
        <v>70</v>
      </c>
      <c r="J119" s="210" t="s">
        <v>71</v>
      </c>
      <c r="K119" s="211" t="s">
        <v>72</v>
      </c>
      <c r="L119" s="212" t="s">
        <v>73</v>
      </c>
      <c r="M119" s="211" t="s">
        <v>74</v>
      </c>
      <c r="N119" s="213" t="s">
        <v>70</v>
      </c>
      <c r="AA119" s="163"/>
      <c r="AB119" s="163"/>
    </row>
    <row r="120" spans="2:28" x14ac:dyDescent="0.25">
      <c r="B120" s="217" t="s">
        <v>60</v>
      </c>
      <c r="C120" s="53">
        <v>303</v>
      </c>
      <c r="D120" s="214">
        <v>5.8400000000000001E-2</v>
      </c>
      <c r="E120" s="214">
        <v>5.3156999999999996</v>
      </c>
      <c r="F120" s="214">
        <f t="shared" ref="F120:F125" si="62">1/D120</f>
        <v>17.123287671232877</v>
      </c>
      <c r="G120" s="101">
        <f t="shared" ref="G120:G125" si="63">1/((F120*E120))</f>
        <v>1.0986323532178266E-2</v>
      </c>
      <c r="H120" s="99">
        <f t="shared" ref="H120:H125" si="64">(1/(1+(G120*150)))</f>
        <v>0.37765084507342439</v>
      </c>
      <c r="I120" s="101">
        <v>0.95679999999999998</v>
      </c>
      <c r="J120" s="215">
        <v>0.52529999999999999</v>
      </c>
      <c r="K120" s="216">
        <v>-0.12609999999999999</v>
      </c>
      <c r="L120" s="216">
        <f t="shared" ref="L120:L125" si="65">1/J120</f>
        <v>1.9036740909956216</v>
      </c>
      <c r="M120" s="216">
        <f t="shared" ref="M120:M125" si="66">10^(K120)</f>
        <v>0.74799724794933342</v>
      </c>
      <c r="N120" s="186">
        <v>0.90569999999999995</v>
      </c>
      <c r="AA120" s="163"/>
      <c r="AB120" s="163"/>
    </row>
    <row r="121" spans="2:28" x14ac:dyDescent="0.25">
      <c r="B121" s="217" t="s">
        <v>61</v>
      </c>
      <c r="C121" s="53">
        <v>303</v>
      </c>
      <c r="D121" s="214">
        <v>7.51E-2</v>
      </c>
      <c r="E121" s="214">
        <v>5.8571999999999997</v>
      </c>
      <c r="F121" s="214">
        <f t="shared" si="62"/>
        <v>13.315579227696405</v>
      </c>
      <c r="G121" s="101">
        <f t="shared" si="63"/>
        <v>1.2821826128525575E-2</v>
      </c>
      <c r="H121" s="99">
        <f t="shared" si="64"/>
        <v>0.34208220906191961</v>
      </c>
      <c r="I121" s="101">
        <v>0.97340000000000004</v>
      </c>
      <c r="J121" s="215">
        <v>0.44529999999999997</v>
      </c>
      <c r="K121" s="216">
        <v>-4.6699999999999998E-2</v>
      </c>
      <c r="L121" s="216">
        <f t="shared" si="65"/>
        <v>2.2456770716370986</v>
      </c>
      <c r="M121" s="216">
        <f t="shared" si="66"/>
        <v>0.89804893051275203</v>
      </c>
      <c r="N121" s="186">
        <v>0.92330000000000001</v>
      </c>
      <c r="AA121" s="163"/>
      <c r="AB121" s="163"/>
    </row>
    <row r="122" spans="2:28" x14ac:dyDescent="0.25">
      <c r="B122" s="217" t="s">
        <v>60</v>
      </c>
      <c r="C122" s="53">
        <v>313</v>
      </c>
      <c r="D122" s="214">
        <v>6.4399999999999999E-2</v>
      </c>
      <c r="E122" s="214">
        <v>3.1244000000000001</v>
      </c>
      <c r="F122" s="214">
        <f t="shared" si="62"/>
        <v>15.527950310559007</v>
      </c>
      <c r="G122" s="101">
        <f t="shared" si="63"/>
        <v>2.06119574958392E-2</v>
      </c>
      <c r="H122" s="99">
        <f t="shared" si="64"/>
        <v>0.2443916022652608</v>
      </c>
      <c r="I122" s="101">
        <v>0.98850000000000005</v>
      </c>
      <c r="J122" s="215">
        <v>0.40899999999999997</v>
      </c>
      <c r="K122" s="216">
        <v>0.1709</v>
      </c>
      <c r="L122" s="216">
        <f t="shared" si="65"/>
        <v>2.4449877750611249</v>
      </c>
      <c r="M122" s="216">
        <f t="shared" si="66"/>
        <v>1.4821767620394413</v>
      </c>
      <c r="N122" s="186">
        <v>0.9264</v>
      </c>
      <c r="AA122" s="163"/>
      <c r="AB122" s="163"/>
    </row>
    <row r="123" spans="2:28" x14ac:dyDescent="0.25">
      <c r="B123" s="217" t="s">
        <v>61</v>
      </c>
      <c r="C123" s="53">
        <v>313</v>
      </c>
      <c r="D123" s="214">
        <v>7.2099999999999997E-2</v>
      </c>
      <c r="E123" s="214">
        <v>4.3480999999999996</v>
      </c>
      <c r="F123" s="214">
        <f t="shared" si="62"/>
        <v>13.869625520110958</v>
      </c>
      <c r="G123" s="101">
        <f t="shared" si="63"/>
        <v>1.6581955336813781E-2</v>
      </c>
      <c r="H123" s="99">
        <f t="shared" si="64"/>
        <v>0.2867553468617895</v>
      </c>
      <c r="I123" s="101">
        <v>0.99339999999999995</v>
      </c>
      <c r="J123" s="215">
        <v>0.38900000000000001</v>
      </c>
      <c r="K123" s="216">
        <v>0.12989999999999999</v>
      </c>
      <c r="L123" s="216">
        <f t="shared" si="65"/>
        <v>2.5706940874035991</v>
      </c>
      <c r="M123" s="216">
        <f t="shared" si="66"/>
        <v>1.3486523081667821</v>
      </c>
      <c r="N123" s="186">
        <v>0.96909999999999996</v>
      </c>
      <c r="AA123" s="163"/>
      <c r="AB123" s="163"/>
    </row>
    <row r="124" spans="2:28" x14ac:dyDescent="0.25">
      <c r="B124" s="217" t="s">
        <v>60</v>
      </c>
      <c r="C124" s="53">
        <v>323</v>
      </c>
      <c r="D124" s="214">
        <v>6.3899999999999998E-2</v>
      </c>
      <c r="E124" s="214">
        <v>2.1389</v>
      </c>
      <c r="F124" s="214">
        <f t="shared" si="62"/>
        <v>15.649452269170579</v>
      </c>
      <c r="G124" s="101">
        <f t="shared" si="63"/>
        <v>2.9875169479639065E-2</v>
      </c>
      <c r="H124" s="99">
        <f t="shared" si="64"/>
        <v>0.18243929067972262</v>
      </c>
      <c r="I124" s="101">
        <v>0.99770000000000003</v>
      </c>
      <c r="J124" s="215">
        <v>0.35659999999999997</v>
      </c>
      <c r="K124" s="216">
        <v>0.3271</v>
      </c>
      <c r="L124" s="216">
        <f t="shared" si="65"/>
        <v>2.8042624789680315</v>
      </c>
      <c r="M124" s="216">
        <f t="shared" si="66"/>
        <v>2.1237334133953674</v>
      </c>
      <c r="N124" s="186">
        <v>0.93869999999999998</v>
      </c>
      <c r="AA124" s="163"/>
      <c r="AB124" s="163"/>
    </row>
    <row r="125" spans="2:28" x14ac:dyDescent="0.25">
      <c r="B125" s="217" t="s">
        <v>61</v>
      </c>
      <c r="C125" s="53">
        <v>323</v>
      </c>
      <c r="D125" s="214">
        <v>7.0099999999999996E-2</v>
      </c>
      <c r="E125" s="214">
        <v>3.3329</v>
      </c>
      <c r="F125" s="214">
        <f t="shared" si="62"/>
        <v>14.265335235378032</v>
      </c>
      <c r="G125" s="101">
        <f t="shared" si="63"/>
        <v>2.1032734255453208E-2</v>
      </c>
      <c r="H125" s="99">
        <f t="shared" si="64"/>
        <v>0.24067909213671387</v>
      </c>
      <c r="I125" s="101">
        <v>0.99380000000000002</v>
      </c>
      <c r="J125" s="215">
        <v>0.36609999999999998</v>
      </c>
      <c r="K125" s="216">
        <v>0.22239999999999999</v>
      </c>
      <c r="L125" s="216">
        <f t="shared" si="65"/>
        <v>2.7314941272876263</v>
      </c>
      <c r="M125" s="216">
        <f t="shared" si="66"/>
        <v>1.6687835113653908</v>
      </c>
      <c r="N125" s="186">
        <v>0.96379999999999999</v>
      </c>
      <c r="AA125" s="163"/>
      <c r="AB125" s="163"/>
    </row>
    <row r="126" spans="2:28" x14ac:dyDescent="0.25">
      <c r="AA126" s="163"/>
      <c r="AB126" s="163"/>
    </row>
    <row r="127" spans="2:28" x14ac:dyDescent="0.25">
      <c r="AA127" s="163"/>
      <c r="AB127" s="163"/>
    </row>
    <row r="128" spans="2:28" x14ac:dyDescent="0.25">
      <c r="B128" s="286" t="s">
        <v>84</v>
      </c>
      <c r="C128" s="287"/>
      <c r="D128" s="287"/>
      <c r="E128" s="288"/>
      <c r="F128" s="196"/>
      <c r="G128" s="286" t="s">
        <v>85</v>
      </c>
      <c r="H128" s="287"/>
      <c r="I128" s="287"/>
      <c r="J128" s="288"/>
      <c r="K128" s="196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AA128" s="163"/>
      <c r="AB128" s="163"/>
    </row>
    <row r="129" spans="1:28" x14ac:dyDescent="0.25">
      <c r="B129" s="289"/>
      <c r="C129" s="290"/>
      <c r="D129" s="267" t="s">
        <v>0</v>
      </c>
      <c r="E129" s="269"/>
      <c r="F129" s="19"/>
      <c r="G129" s="289"/>
      <c r="H129" s="290"/>
      <c r="I129" s="267" t="s">
        <v>0</v>
      </c>
      <c r="J129" s="269"/>
      <c r="K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AA129" s="163"/>
      <c r="AB129" s="163"/>
    </row>
    <row r="130" spans="1:28" ht="18" x14ac:dyDescent="0.35">
      <c r="B130" s="109" t="s">
        <v>63</v>
      </c>
      <c r="C130" s="110" t="s">
        <v>76</v>
      </c>
      <c r="D130" s="94" t="s">
        <v>77</v>
      </c>
      <c r="E130" s="95" t="s">
        <v>78</v>
      </c>
      <c r="F130" s="19"/>
      <c r="G130" s="109" t="s">
        <v>63</v>
      </c>
      <c r="H130" s="110" t="s">
        <v>76</v>
      </c>
      <c r="I130" s="94" t="s">
        <v>77</v>
      </c>
      <c r="J130" s="95" t="s">
        <v>78</v>
      </c>
      <c r="K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AA130" s="163"/>
      <c r="AB130" s="163"/>
    </row>
    <row r="131" spans="1:28" x14ac:dyDescent="0.25">
      <c r="B131" s="89">
        <v>303</v>
      </c>
      <c r="C131" s="124">
        <f>1/B131</f>
        <v>3.3003300330033004E-3</v>
      </c>
      <c r="D131" s="127">
        <f>E83/F83</f>
        <v>0.11170431211498973</v>
      </c>
      <c r="E131" s="218">
        <f>LN(D131)</f>
        <v>-2.1918999692206929</v>
      </c>
      <c r="F131" s="21"/>
      <c r="G131" s="89">
        <v>303</v>
      </c>
      <c r="H131" s="124">
        <f>1/G131</f>
        <v>3.3003300330033004E-3</v>
      </c>
      <c r="I131" s="127">
        <f>AG83/AH83</f>
        <v>9.6648044692737439E-2</v>
      </c>
      <c r="J131" s="218">
        <f>LN(I131)</f>
        <v>-2.3366793043370215</v>
      </c>
      <c r="K131" s="18"/>
      <c r="M131" s="19"/>
      <c r="N131" s="21"/>
      <c r="O131" s="21"/>
      <c r="P131" s="18"/>
      <c r="Q131" s="21"/>
      <c r="R131" s="18"/>
      <c r="S131" s="21"/>
      <c r="T131" s="18"/>
      <c r="U131" s="21"/>
      <c r="V131" s="18"/>
      <c r="AA131" s="163"/>
      <c r="AB131" s="163"/>
    </row>
    <row r="132" spans="1:28" x14ac:dyDescent="0.25">
      <c r="B132" s="89">
        <v>313</v>
      </c>
      <c r="C132" s="124">
        <f t="shared" ref="C132:C133" si="67">1/B132</f>
        <v>3.1948881789137379E-3</v>
      </c>
      <c r="D132" s="127">
        <f>E87/F87</f>
        <v>0.17694524495677236</v>
      </c>
      <c r="E132" s="218">
        <f>LN(D132)</f>
        <v>-1.7319149447937623</v>
      </c>
      <c r="F132" s="21"/>
      <c r="G132" s="89">
        <v>313</v>
      </c>
      <c r="H132" s="124">
        <f t="shared" ref="H132:H133" si="68">1/G132</f>
        <v>3.1948881789137379E-3</v>
      </c>
      <c r="I132" s="127">
        <f>AG87/AH87</f>
        <v>0.13884892086330938</v>
      </c>
      <c r="J132" s="218">
        <f>LN(I132)</f>
        <v>-1.9743688372198516</v>
      </c>
      <c r="K132" s="18"/>
      <c r="M132" s="19"/>
      <c r="N132" s="21"/>
      <c r="O132" s="21"/>
      <c r="P132" s="18"/>
      <c r="Q132" s="21"/>
      <c r="R132" s="18"/>
      <c r="S132" s="21"/>
      <c r="T132" s="18"/>
      <c r="U132" s="21"/>
      <c r="V132" s="18"/>
      <c r="AA132" s="163"/>
      <c r="AB132" s="163"/>
    </row>
    <row r="133" spans="1:28" x14ac:dyDescent="0.25">
      <c r="B133" s="206">
        <v>323</v>
      </c>
      <c r="C133" s="130">
        <f t="shared" si="67"/>
        <v>3.0959752321981426E-3</v>
      </c>
      <c r="D133" s="133">
        <f>E91/F91</f>
        <v>0.256420233463035</v>
      </c>
      <c r="E133" s="220">
        <f>LN(D133)</f>
        <v>-1.3609376433867584</v>
      </c>
      <c r="F133" s="21"/>
      <c r="G133" s="206">
        <v>323</v>
      </c>
      <c r="H133" s="130">
        <f t="shared" si="68"/>
        <v>3.0959752321981426E-3</v>
      </c>
      <c r="I133" s="133">
        <f>AG91/AH91</f>
        <v>0.17694524495677236</v>
      </c>
      <c r="J133" s="220">
        <f>LN(I133)</f>
        <v>-1.7319149447937623</v>
      </c>
      <c r="K133" s="18"/>
      <c r="M133" s="19"/>
      <c r="N133" s="21"/>
      <c r="O133" s="21"/>
      <c r="P133" s="18"/>
      <c r="Q133" s="21"/>
      <c r="R133" s="18"/>
      <c r="S133" s="21"/>
      <c r="T133" s="18"/>
      <c r="U133" s="21"/>
      <c r="V133" s="18"/>
      <c r="AA133" s="163"/>
      <c r="AB133" s="163"/>
    </row>
    <row r="134" spans="1:28" x14ac:dyDescent="0.25">
      <c r="AA134" s="163"/>
      <c r="AB134" s="163"/>
    </row>
    <row r="135" spans="1:28" x14ac:dyDescent="0.25">
      <c r="A135" s="18"/>
      <c r="B135" s="18"/>
      <c r="C135" s="18"/>
      <c r="D135" s="18"/>
      <c r="E135" s="18"/>
      <c r="F135" s="18"/>
      <c r="G135" s="18"/>
      <c r="H135" s="18"/>
      <c r="AA135" s="163"/>
      <c r="AB135" s="163"/>
    </row>
    <row r="136" spans="1:28" x14ac:dyDescent="0.25">
      <c r="A136" s="18"/>
      <c r="B136" s="291" t="s">
        <v>79</v>
      </c>
      <c r="C136" s="292"/>
      <c r="D136" s="292"/>
      <c r="E136" s="292"/>
      <c r="F136" s="292"/>
      <c r="G136" s="292"/>
      <c r="H136" s="292"/>
      <c r="I136" s="292"/>
      <c r="J136" s="293"/>
      <c r="AA136" s="163"/>
      <c r="AB136" s="163"/>
    </row>
    <row r="137" spans="1:28" x14ac:dyDescent="0.25">
      <c r="A137" s="18"/>
      <c r="B137" s="294" t="s">
        <v>0</v>
      </c>
      <c r="C137" s="295"/>
      <c r="D137" s="95" t="s">
        <v>80</v>
      </c>
      <c r="E137" s="95" t="s">
        <v>81</v>
      </c>
      <c r="F137" s="222" t="s">
        <v>82</v>
      </c>
      <c r="G137" s="223" t="s">
        <v>83</v>
      </c>
      <c r="H137" s="296" t="s">
        <v>112</v>
      </c>
      <c r="I137" s="297"/>
      <c r="J137" s="298"/>
      <c r="AA137" s="163"/>
      <c r="AB137" s="163"/>
    </row>
    <row r="138" spans="1:28" x14ac:dyDescent="0.25">
      <c r="A138" s="18"/>
      <c r="B138" s="299"/>
      <c r="C138" s="300"/>
      <c r="D138" s="103"/>
      <c r="E138" s="103"/>
      <c r="F138" s="224"/>
      <c r="G138" s="102"/>
      <c r="H138" s="54">
        <v>303</v>
      </c>
      <c r="I138" s="54">
        <v>313</v>
      </c>
      <c r="J138" s="54">
        <v>323</v>
      </c>
      <c r="AA138" s="163"/>
      <c r="AB138" s="163"/>
    </row>
    <row r="139" spans="1:28" x14ac:dyDescent="0.25">
      <c r="A139" s="18"/>
      <c r="B139" s="284" t="s">
        <v>60</v>
      </c>
      <c r="C139" s="285"/>
      <c r="D139" s="225">
        <v>-4069.5</v>
      </c>
      <c r="E139" s="122">
        <v>11.249000000000001</v>
      </c>
      <c r="F139" s="66">
        <f>-(0.008314*D139)</f>
        <v>33.833823000000002</v>
      </c>
      <c r="G139" s="226">
        <f>E139*0.008314</f>
        <v>9.3524186000000009E-2</v>
      </c>
      <c r="H139" s="227">
        <f>F139-(H138*G139)</f>
        <v>5.4959946419999994</v>
      </c>
      <c r="I139" s="227">
        <f>F139-(I138*G139)</f>
        <v>4.560752781999998</v>
      </c>
      <c r="J139" s="227">
        <f>F139-(J138*G139)</f>
        <v>3.6255109220000001</v>
      </c>
      <c r="AA139" s="163"/>
      <c r="AB139" s="163"/>
    </row>
    <row r="140" spans="1:28" x14ac:dyDescent="0.25">
      <c r="A140" s="18"/>
      <c r="B140" s="267" t="s">
        <v>61</v>
      </c>
      <c r="C140" s="269"/>
      <c r="D140" s="48">
        <v>-2964.6</v>
      </c>
      <c r="E140" s="186">
        <v>7.4638</v>
      </c>
      <c r="F140" s="92">
        <f>-(0.008314*D140)</f>
        <v>24.647684399999999</v>
      </c>
      <c r="G140" s="101">
        <f>E140*0.008314</f>
        <v>6.2054033200000004E-2</v>
      </c>
      <c r="H140" s="55">
        <f>F140-(H138*G140)</f>
        <v>5.8453123403999996</v>
      </c>
      <c r="I140" s="55">
        <f>F140-(I138*G140)</f>
        <v>5.2247720083999987</v>
      </c>
      <c r="J140" s="55">
        <f>F140-(J138*G140)</f>
        <v>4.6042316763999978</v>
      </c>
      <c r="AA140" s="163"/>
      <c r="AB140" s="163"/>
    </row>
    <row r="141" spans="1:28" x14ac:dyDescent="0.25">
      <c r="A141" s="18"/>
      <c r="B141" s="18"/>
      <c r="C141" s="230"/>
      <c r="D141" s="21"/>
      <c r="E141" s="21"/>
      <c r="F141" s="21"/>
      <c r="G141" s="21"/>
      <c r="H141" s="21"/>
      <c r="AA141" s="163"/>
      <c r="AB141" s="163"/>
    </row>
    <row r="142" spans="1:28" x14ac:dyDescent="0.25">
      <c r="A142" s="18"/>
      <c r="B142" s="18"/>
      <c r="C142" s="230"/>
      <c r="D142" s="21"/>
      <c r="E142" s="21"/>
      <c r="F142" s="21"/>
      <c r="G142" s="21"/>
      <c r="H142" s="21"/>
      <c r="AA142" s="163"/>
      <c r="AB142" s="163"/>
    </row>
    <row r="143" spans="1:28" x14ac:dyDescent="0.25">
      <c r="A143" s="18"/>
      <c r="B143" s="18"/>
      <c r="C143" s="230"/>
      <c r="D143" s="21"/>
      <c r="E143" s="21"/>
      <c r="F143" s="21"/>
      <c r="G143" s="21"/>
      <c r="H143" s="21"/>
      <c r="AA143" s="163"/>
      <c r="AB143" s="163"/>
    </row>
    <row r="144" spans="1:28" x14ac:dyDescent="0.25">
      <c r="A144" s="18"/>
      <c r="B144" s="18"/>
      <c r="C144" s="21"/>
      <c r="D144" s="21"/>
      <c r="E144" s="21"/>
      <c r="F144" s="21"/>
      <c r="G144" s="18"/>
      <c r="H144" s="18"/>
      <c r="AA144" s="163"/>
      <c r="AB144" s="163"/>
    </row>
    <row r="145" spans="1:28" x14ac:dyDescent="0.25">
      <c r="A145" s="18"/>
      <c r="B145" s="18"/>
      <c r="C145" s="21"/>
      <c r="D145" s="21"/>
      <c r="E145" s="21"/>
      <c r="F145" s="21"/>
      <c r="G145" s="18"/>
      <c r="AA145" s="163"/>
      <c r="AB145" s="163"/>
    </row>
    <row r="146" spans="1:28" x14ac:dyDescent="0.25">
      <c r="A146" s="18"/>
      <c r="B146" s="21"/>
      <c r="C146" s="21"/>
      <c r="D146" s="21"/>
      <c r="E146" s="21"/>
      <c r="F146" s="21"/>
      <c r="G146" s="18"/>
      <c r="AA146" s="163"/>
      <c r="AB146" s="163"/>
    </row>
    <row r="147" spans="1:28" x14ac:dyDescent="0.25">
      <c r="A147" s="18"/>
      <c r="B147" s="21"/>
      <c r="C147" s="21"/>
      <c r="D147" s="21"/>
      <c r="E147" s="21"/>
      <c r="F147" s="21"/>
      <c r="G147" s="18"/>
      <c r="AA147" s="163"/>
      <c r="AB147" s="163"/>
    </row>
    <row r="148" spans="1:28" x14ac:dyDescent="0.25">
      <c r="A148" s="18"/>
      <c r="B148" s="21"/>
      <c r="C148" s="21"/>
      <c r="D148" s="21"/>
      <c r="E148" s="21"/>
      <c r="F148" s="21"/>
      <c r="G148" s="18"/>
      <c r="AA148" s="163"/>
      <c r="AB148" s="163"/>
    </row>
    <row r="149" spans="1:28" x14ac:dyDescent="0.25">
      <c r="A149" s="18"/>
      <c r="B149" s="18"/>
      <c r="C149" s="18"/>
      <c r="D149" s="18"/>
      <c r="E149" s="18"/>
      <c r="F149" s="18"/>
      <c r="G149" s="18"/>
      <c r="AA149" s="163"/>
      <c r="AB149" s="163"/>
    </row>
    <row r="150" spans="1:28" x14ac:dyDescent="0.25">
      <c r="A150" s="18"/>
      <c r="B150" s="18"/>
      <c r="C150" s="18"/>
      <c r="D150" s="18"/>
      <c r="E150" s="18"/>
      <c r="F150" s="18"/>
      <c r="G150" s="18"/>
      <c r="AA150" s="163"/>
      <c r="AB150" s="163"/>
    </row>
    <row r="151" spans="1:28" x14ac:dyDescent="0.25">
      <c r="AA151" s="163"/>
      <c r="AB151" s="163"/>
    </row>
    <row r="152" spans="1:28" x14ac:dyDescent="0.25">
      <c r="AA152" s="163"/>
      <c r="AB152" s="163"/>
    </row>
    <row r="153" spans="1:28" x14ac:dyDescent="0.25">
      <c r="AA153" s="163"/>
      <c r="AB153" s="163"/>
    </row>
    <row r="154" spans="1:28" x14ac:dyDescent="0.25">
      <c r="AA154" s="163"/>
      <c r="AB154" s="163"/>
    </row>
    <row r="155" spans="1:28" x14ac:dyDescent="0.25">
      <c r="AA155" s="163"/>
      <c r="AB155" s="163"/>
    </row>
    <row r="156" spans="1:28" x14ac:dyDescent="0.25">
      <c r="AA156" s="163"/>
      <c r="AB156" s="163"/>
    </row>
    <row r="157" spans="1:28" x14ac:dyDescent="0.25">
      <c r="AA157" s="163"/>
      <c r="AB157" s="163"/>
    </row>
    <row r="158" spans="1:28" x14ac:dyDescent="0.25">
      <c r="AA158" s="163"/>
      <c r="AB158" s="163"/>
    </row>
    <row r="159" spans="1:28" x14ac:dyDescent="0.25">
      <c r="AA159" s="163"/>
      <c r="AB159" s="163"/>
    </row>
    <row r="160" spans="1:28" x14ac:dyDescent="0.25">
      <c r="AA160" s="163"/>
      <c r="AB160" s="163"/>
    </row>
    <row r="161" spans="27:28" x14ac:dyDescent="0.25">
      <c r="AA161" s="163"/>
      <c r="AB161" s="163"/>
    </row>
    <row r="162" spans="27:28" x14ac:dyDescent="0.25">
      <c r="AA162" s="163"/>
      <c r="AB162" s="163"/>
    </row>
    <row r="163" spans="27:28" x14ac:dyDescent="0.25">
      <c r="AA163" s="163"/>
      <c r="AB163" s="163"/>
    </row>
    <row r="164" spans="27:28" x14ac:dyDescent="0.25">
      <c r="AA164" s="163"/>
      <c r="AB164" s="163"/>
    </row>
    <row r="165" spans="27:28" x14ac:dyDescent="0.25">
      <c r="AA165" s="163"/>
      <c r="AB165" s="163"/>
    </row>
    <row r="166" spans="27:28" x14ac:dyDescent="0.25">
      <c r="AA166" s="163"/>
      <c r="AB166" s="163"/>
    </row>
    <row r="167" spans="27:28" x14ac:dyDescent="0.25">
      <c r="AA167" s="163"/>
      <c r="AB167" s="163"/>
    </row>
    <row r="168" spans="27:28" x14ac:dyDescent="0.25">
      <c r="AA168" s="163"/>
      <c r="AB168" s="163"/>
    </row>
    <row r="169" spans="27:28" x14ac:dyDescent="0.25">
      <c r="AA169" s="163"/>
      <c r="AB169" s="163"/>
    </row>
    <row r="170" spans="27:28" x14ac:dyDescent="0.25">
      <c r="AA170" s="163"/>
      <c r="AB170" s="163"/>
    </row>
    <row r="171" spans="27:28" x14ac:dyDescent="0.25">
      <c r="AA171" s="163"/>
      <c r="AB171" s="163"/>
    </row>
    <row r="172" spans="27:28" x14ac:dyDescent="0.25">
      <c r="AA172" s="163"/>
      <c r="AB172" s="163"/>
    </row>
    <row r="173" spans="27:28" x14ac:dyDescent="0.25">
      <c r="AA173" s="163"/>
      <c r="AB173" s="163"/>
    </row>
    <row r="174" spans="27:28" x14ac:dyDescent="0.25">
      <c r="AA174" s="163"/>
      <c r="AB174" s="163"/>
    </row>
    <row r="175" spans="27:28" x14ac:dyDescent="0.25">
      <c r="AA175" s="163"/>
      <c r="AB175" s="163"/>
    </row>
    <row r="176" spans="27:28" x14ac:dyDescent="0.25">
      <c r="AA176" s="163"/>
      <c r="AB176" s="163"/>
    </row>
    <row r="177" spans="27:28" x14ac:dyDescent="0.25">
      <c r="AA177" s="163"/>
      <c r="AB177" s="163"/>
    </row>
    <row r="178" spans="27:28" x14ac:dyDescent="0.25">
      <c r="AA178" s="163"/>
      <c r="AB178" s="163"/>
    </row>
    <row r="179" spans="27:28" x14ac:dyDescent="0.25">
      <c r="AA179" s="163"/>
      <c r="AB179" s="163"/>
    </row>
    <row r="180" spans="27:28" x14ac:dyDescent="0.25">
      <c r="AA180" s="163"/>
      <c r="AB180" s="163"/>
    </row>
    <row r="181" spans="27:28" x14ac:dyDescent="0.25">
      <c r="AA181" s="163"/>
      <c r="AB181" s="163"/>
    </row>
    <row r="182" spans="27:28" x14ac:dyDescent="0.25">
      <c r="AA182" s="163"/>
      <c r="AB182" s="163"/>
    </row>
    <row r="183" spans="27:28" x14ac:dyDescent="0.25">
      <c r="AA183" s="163"/>
      <c r="AB183" s="163"/>
    </row>
    <row r="184" spans="27:28" x14ac:dyDescent="0.25">
      <c r="AA184" s="163"/>
      <c r="AB184" s="163"/>
    </row>
    <row r="185" spans="27:28" x14ac:dyDescent="0.25">
      <c r="AA185" s="163"/>
      <c r="AB185" s="163"/>
    </row>
    <row r="186" spans="27:28" x14ac:dyDescent="0.25">
      <c r="AA186" s="163"/>
      <c r="AB186" s="163"/>
    </row>
    <row r="187" spans="27:28" x14ac:dyDescent="0.25">
      <c r="AA187" s="163"/>
      <c r="AB187" s="163"/>
    </row>
    <row r="188" spans="27:28" x14ac:dyDescent="0.25">
      <c r="AA188" s="163"/>
      <c r="AB188" s="163"/>
    </row>
    <row r="189" spans="27:28" x14ac:dyDescent="0.25">
      <c r="AA189" s="163"/>
      <c r="AB189" s="163"/>
    </row>
    <row r="190" spans="27:28" x14ac:dyDescent="0.25">
      <c r="AA190" s="163"/>
      <c r="AB190" s="163"/>
    </row>
    <row r="191" spans="27:28" x14ac:dyDescent="0.25">
      <c r="AA191" s="163"/>
      <c r="AB191" s="163"/>
    </row>
    <row r="192" spans="27:28" x14ac:dyDescent="0.25">
      <c r="AA192" s="163"/>
      <c r="AB192" s="163"/>
    </row>
    <row r="193" spans="27:28" x14ac:dyDescent="0.25">
      <c r="AA193" s="163"/>
      <c r="AB193" s="163"/>
    </row>
    <row r="194" spans="27:28" x14ac:dyDescent="0.25">
      <c r="AA194" s="163"/>
      <c r="AB194" s="163"/>
    </row>
    <row r="195" spans="27:28" x14ac:dyDescent="0.25">
      <c r="AA195" s="163"/>
      <c r="AB195" s="163"/>
    </row>
    <row r="196" spans="27:28" x14ac:dyDescent="0.25">
      <c r="AA196" s="163"/>
      <c r="AB196" s="163"/>
    </row>
    <row r="197" spans="27:28" x14ac:dyDescent="0.25">
      <c r="AA197" s="163"/>
      <c r="AB197" s="163"/>
    </row>
    <row r="198" spans="27:28" x14ac:dyDescent="0.25">
      <c r="AA198" s="163"/>
      <c r="AB198" s="163"/>
    </row>
    <row r="199" spans="27:28" x14ac:dyDescent="0.25">
      <c r="AA199" s="163"/>
      <c r="AB199" s="163"/>
    </row>
    <row r="200" spans="27:28" x14ac:dyDescent="0.25">
      <c r="AA200" s="163"/>
      <c r="AB200" s="163"/>
    </row>
    <row r="201" spans="27:28" x14ac:dyDescent="0.25">
      <c r="AA201" s="163"/>
      <c r="AB201" s="163"/>
    </row>
    <row r="202" spans="27:28" x14ac:dyDescent="0.25">
      <c r="AA202" s="163"/>
      <c r="AB202" s="163"/>
    </row>
    <row r="203" spans="27:28" x14ac:dyDescent="0.25">
      <c r="AA203" s="163"/>
      <c r="AB203" s="163"/>
    </row>
    <row r="204" spans="27:28" x14ac:dyDescent="0.25">
      <c r="AA204" s="163"/>
      <c r="AB204" s="163"/>
    </row>
    <row r="205" spans="27:28" x14ac:dyDescent="0.25">
      <c r="AA205" s="163"/>
      <c r="AB205" s="163"/>
    </row>
    <row r="206" spans="27:28" x14ac:dyDescent="0.25">
      <c r="AA206" s="163"/>
      <c r="AB206" s="163"/>
    </row>
    <row r="207" spans="27:28" x14ac:dyDescent="0.25">
      <c r="AA207" s="163"/>
      <c r="AB207" s="163"/>
    </row>
    <row r="208" spans="27:28" x14ac:dyDescent="0.25">
      <c r="AA208" s="163"/>
      <c r="AB208" s="163"/>
    </row>
    <row r="209" spans="27:28" x14ac:dyDescent="0.25">
      <c r="AA209" s="163"/>
      <c r="AB209" s="163"/>
    </row>
    <row r="210" spans="27:28" x14ac:dyDescent="0.25">
      <c r="AA210" s="163"/>
      <c r="AB210" s="163"/>
    </row>
    <row r="211" spans="27:28" x14ac:dyDescent="0.25">
      <c r="AA211" s="163"/>
      <c r="AB211" s="163"/>
    </row>
    <row r="212" spans="27:28" x14ac:dyDescent="0.25">
      <c r="AA212" s="163"/>
      <c r="AB212" s="163"/>
    </row>
    <row r="213" spans="27:28" x14ac:dyDescent="0.25">
      <c r="AA213" s="163"/>
      <c r="AB213" s="163"/>
    </row>
    <row r="214" spans="27:28" x14ac:dyDescent="0.25">
      <c r="AA214" s="163"/>
      <c r="AB214" s="163"/>
    </row>
    <row r="215" spans="27:28" x14ac:dyDescent="0.25">
      <c r="AA215" s="163"/>
      <c r="AB215" s="163"/>
    </row>
    <row r="216" spans="27:28" x14ac:dyDescent="0.25">
      <c r="AA216" s="163"/>
      <c r="AB216" s="163"/>
    </row>
    <row r="217" spans="27:28" x14ac:dyDescent="0.25">
      <c r="AA217" s="163"/>
      <c r="AB217" s="163"/>
    </row>
    <row r="218" spans="27:28" x14ac:dyDescent="0.25">
      <c r="AA218" s="163"/>
      <c r="AB218" s="163"/>
    </row>
    <row r="219" spans="27:28" x14ac:dyDescent="0.25">
      <c r="AA219" s="163"/>
      <c r="AB219" s="163"/>
    </row>
    <row r="220" spans="27:28" x14ac:dyDescent="0.25">
      <c r="AA220" s="163"/>
      <c r="AB220" s="163"/>
    </row>
    <row r="221" spans="27:28" x14ac:dyDescent="0.25">
      <c r="AA221" s="163"/>
      <c r="AB221" s="163"/>
    </row>
    <row r="222" spans="27:28" x14ac:dyDescent="0.25">
      <c r="AA222" s="163"/>
      <c r="AB222" s="163"/>
    </row>
    <row r="223" spans="27:28" x14ac:dyDescent="0.25">
      <c r="AA223" s="163"/>
      <c r="AB223" s="163"/>
    </row>
    <row r="224" spans="27:28" x14ac:dyDescent="0.25">
      <c r="AA224" s="163"/>
      <c r="AB224" s="163"/>
    </row>
    <row r="225" spans="27:28" x14ac:dyDescent="0.25">
      <c r="AA225" s="163"/>
      <c r="AB225" s="163"/>
    </row>
    <row r="226" spans="27:28" x14ac:dyDescent="0.25">
      <c r="AA226" s="163"/>
      <c r="AB226" s="163"/>
    </row>
    <row r="227" spans="27:28" x14ac:dyDescent="0.25">
      <c r="AA227" s="163"/>
      <c r="AB227" s="163"/>
    </row>
    <row r="228" spans="27:28" x14ac:dyDescent="0.25">
      <c r="AA228" s="163"/>
      <c r="AB228" s="163"/>
    </row>
    <row r="229" spans="27:28" x14ac:dyDescent="0.25">
      <c r="AA229" s="163"/>
      <c r="AB229" s="163"/>
    </row>
    <row r="230" spans="27:28" x14ac:dyDescent="0.25">
      <c r="AA230" s="163"/>
      <c r="AB230" s="163"/>
    </row>
    <row r="231" spans="27:28" x14ac:dyDescent="0.25">
      <c r="AA231" s="163"/>
      <c r="AB231" s="163"/>
    </row>
    <row r="232" spans="27:28" x14ac:dyDescent="0.25">
      <c r="AA232" s="163"/>
      <c r="AB232" s="163"/>
    </row>
    <row r="233" spans="27:28" x14ac:dyDescent="0.25">
      <c r="AA233" s="163"/>
      <c r="AB233" s="163"/>
    </row>
    <row r="234" spans="27:28" x14ac:dyDescent="0.25">
      <c r="AA234" s="163"/>
      <c r="AB234" s="163"/>
    </row>
    <row r="235" spans="27:28" x14ac:dyDescent="0.25">
      <c r="AA235" s="163"/>
      <c r="AB235" s="163"/>
    </row>
    <row r="236" spans="27:28" x14ac:dyDescent="0.25">
      <c r="AA236" s="163"/>
      <c r="AB236" s="163"/>
    </row>
    <row r="237" spans="27:28" x14ac:dyDescent="0.25">
      <c r="AA237" s="163"/>
      <c r="AB237" s="163"/>
    </row>
    <row r="238" spans="27:28" x14ac:dyDescent="0.25">
      <c r="AA238" s="163"/>
      <c r="AB238" s="163"/>
    </row>
    <row r="239" spans="27:28" x14ac:dyDescent="0.25">
      <c r="AA239" s="163"/>
      <c r="AB239" s="163"/>
    </row>
    <row r="240" spans="27:28" x14ac:dyDescent="0.25">
      <c r="AA240" s="163"/>
      <c r="AB240" s="163"/>
    </row>
    <row r="241" spans="27:28" x14ac:dyDescent="0.25">
      <c r="AA241" s="163"/>
      <c r="AB241" s="163"/>
    </row>
    <row r="242" spans="27:28" x14ac:dyDescent="0.25">
      <c r="AA242" s="163"/>
      <c r="AB242" s="163"/>
    </row>
    <row r="243" spans="27:28" x14ac:dyDescent="0.25">
      <c r="AA243" s="163"/>
      <c r="AB243" s="163"/>
    </row>
    <row r="244" spans="27:28" x14ac:dyDescent="0.25">
      <c r="AA244" s="163"/>
      <c r="AB244" s="163"/>
    </row>
    <row r="245" spans="27:28" x14ac:dyDescent="0.25">
      <c r="AA245" s="163"/>
      <c r="AB245" s="163"/>
    </row>
    <row r="246" spans="27:28" x14ac:dyDescent="0.25">
      <c r="AA246" s="163"/>
      <c r="AB246" s="163"/>
    </row>
    <row r="247" spans="27:28" x14ac:dyDescent="0.25">
      <c r="AA247" s="163"/>
      <c r="AB247" s="163"/>
    </row>
    <row r="248" spans="27:28" x14ac:dyDescent="0.25">
      <c r="AA248" s="163"/>
      <c r="AB248" s="163"/>
    </row>
    <row r="249" spans="27:28" x14ac:dyDescent="0.25">
      <c r="AA249" s="163"/>
      <c r="AB249" s="163"/>
    </row>
    <row r="250" spans="27:28" x14ac:dyDescent="0.25">
      <c r="AA250" s="163"/>
      <c r="AB250" s="163"/>
    </row>
    <row r="251" spans="27:28" x14ac:dyDescent="0.25">
      <c r="AA251" s="163"/>
      <c r="AB251" s="163"/>
    </row>
    <row r="252" spans="27:28" x14ac:dyDescent="0.25">
      <c r="AA252" s="163"/>
      <c r="AB252" s="163"/>
    </row>
    <row r="253" spans="27:28" x14ac:dyDescent="0.25">
      <c r="AA253" s="163"/>
      <c r="AB253" s="163"/>
    </row>
    <row r="254" spans="27:28" x14ac:dyDescent="0.25">
      <c r="AA254" s="163"/>
      <c r="AB254" s="163"/>
    </row>
    <row r="255" spans="27:28" x14ac:dyDescent="0.25">
      <c r="AA255" s="163"/>
      <c r="AB255" s="163"/>
    </row>
    <row r="256" spans="27:28" x14ac:dyDescent="0.25">
      <c r="AA256" s="163"/>
      <c r="AB256" s="163"/>
    </row>
    <row r="257" spans="27:28" x14ac:dyDescent="0.25">
      <c r="AA257" s="163"/>
      <c r="AB257" s="163"/>
    </row>
    <row r="258" spans="27:28" x14ac:dyDescent="0.25">
      <c r="AA258" s="163"/>
      <c r="AB258" s="163"/>
    </row>
    <row r="259" spans="27:28" x14ac:dyDescent="0.25">
      <c r="AA259" s="163"/>
      <c r="AB259" s="163"/>
    </row>
    <row r="260" spans="27:28" x14ac:dyDescent="0.25">
      <c r="AA260" s="163"/>
      <c r="AB260" s="163"/>
    </row>
    <row r="261" spans="27:28" x14ac:dyDescent="0.25">
      <c r="AA261" s="163"/>
      <c r="AB261" s="163"/>
    </row>
    <row r="262" spans="27:28" x14ac:dyDescent="0.25">
      <c r="AA262" s="163"/>
      <c r="AB262" s="163"/>
    </row>
    <row r="263" spans="27:28" x14ac:dyDescent="0.25">
      <c r="AA263" s="163"/>
      <c r="AB263" s="163"/>
    </row>
    <row r="264" spans="27:28" x14ac:dyDescent="0.25">
      <c r="AA264" s="163"/>
      <c r="AB264" s="163"/>
    </row>
    <row r="265" spans="27:28" x14ac:dyDescent="0.25">
      <c r="AA265" s="163"/>
      <c r="AB265" s="163"/>
    </row>
    <row r="266" spans="27:28" x14ac:dyDescent="0.25">
      <c r="AA266" s="163"/>
      <c r="AB266" s="163"/>
    </row>
    <row r="267" spans="27:28" x14ac:dyDescent="0.25">
      <c r="AA267" s="163"/>
      <c r="AB267" s="163"/>
    </row>
    <row r="268" spans="27:28" x14ac:dyDescent="0.25">
      <c r="AA268" s="163"/>
      <c r="AB268" s="163"/>
    </row>
    <row r="269" spans="27:28" x14ac:dyDescent="0.25">
      <c r="AA269" s="163"/>
      <c r="AB269" s="163"/>
    </row>
    <row r="270" spans="27:28" x14ac:dyDescent="0.25">
      <c r="AA270" s="163"/>
      <c r="AB270" s="163"/>
    </row>
    <row r="271" spans="27:28" x14ac:dyDescent="0.25">
      <c r="AA271" s="163"/>
      <c r="AB271" s="163"/>
    </row>
    <row r="272" spans="27:28" x14ac:dyDescent="0.25">
      <c r="AA272" s="163"/>
      <c r="AB272" s="163"/>
    </row>
    <row r="273" spans="27:28" x14ac:dyDescent="0.25">
      <c r="AA273" s="163"/>
      <c r="AB273" s="163"/>
    </row>
    <row r="274" spans="27:28" x14ac:dyDescent="0.25">
      <c r="AA274" s="163"/>
      <c r="AB274" s="163"/>
    </row>
    <row r="275" spans="27:28" x14ac:dyDescent="0.25">
      <c r="AA275" s="163"/>
      <c r="AB275" s="163"/>
    </row>
    <row r="276" spans="27:28" x14ac:dyDescent="0.25">
      <c r="AA276" s="163"/>
      <c r="AB276" s="163"/>
    </row>
    <row r="277" spans="27:28" x14ac:dyDescent="0.25">
      <c r="AA277" s="163"/>
      <c r="AB277" s="163"/>
    </row>
    <row r="278" spans="27:28" x14ac:dyDescent="0.25">
      <c r="AA278" s="163"/>
      <c r="AB278" s="163"/>
    </row>
    <row r="279" spans="27:28" x14ac:dyDescent="0.25">
      <c r="AA279" s="163"/>
      <c r="AB279" s="163"/>
    </row>
    <row r="280" spans="27:28" x14ac:dyDescent="0.25">
      <c r="AA280" s="163"/>
      <c r="AB280" s="163"/>
    </row>
    <row r="281" spans="27:28" x14ac:dyDescent="0.25">
      <c r="AA281" s="163"/>
      <c r="AB281" s="163"/>
    </row>
    <row r="282" spans="27:28" x14ac:dyDescent="0.25">
      <c r="AA282" s="163"/>
      <c r="AB282" s="163"/>
    </row>
    <row r="283" spans="27:28" x14ac:dyDescent="0.25">
      <c r="AA283" s="163"/>
      <c r="AB283" s="163"/>
    </row>
    <row r="284" spans="27:28" x14ac:dyDescent="0.25">
      <c r="AA284" s="163"/>
      <c r="AB284" s="163"/>
    </row>
    <row r="285" spans="27:28" x14ac:dyDescent="0.25">
      <c r="AA285" s="163"/>
      <c r="AB285" s="163"/>
    </row>
    <row r="286" spans="27:28" x14ac:dyDescent="0.25">
      <c r="AA286" s="163"/>
      <c r="AB286" s="163"/>
    </row>
    <row r="287" spans="27:28" x14ac:dyDescent="0.25">
      <c r="AA287" s="163"/>
      <c r="AB287" s="163"/>
    </row>
    <row r="288" spans="27:28" x14ac:dyDescent="0.25">
      <c r="AA288" s="163"/>
      <c r="AB288" s="163"/>
    </row>
    <row r="289" spans="27:28" x14ac:dyDescent="0.25">
      <c r="AA289" s="163"/>
      <c r="AB289" s="163"/>
    </row>
    <row r="290" spans="27:28" x14ac:dyDescent="0.25">
      <c r="AA290" s="163"/>
      <c r="AB290" s="163"/>
    </row>
    <row r="291" spans="27:28" x14ac:dyDescent="0.25">
      <c r="AA291" s="163"/>
      <c r="AB291" s="163"/>
    </row>
    <row r="292" spans="27:28" x14ac:dyDescent="0.25">
      <c r="AA292" s="163"/>
      <c r="AB292" s="163"/>
    </row>
    <row r="293" spans="27:28" x14ac:dyDescent="0.25">
      <c r="AA293" s="163"/>
      <c r="AB293" s="163"/>
    </row>
    <row r="294" spans="27:28" x14ac:dyDescent="0.25">
      <c r="AA294" s="163"/>
      <c r="AB294" s="163"/>
    </row>
    <row r="295" spans="27:28" x14ac:dyDescent="0.25">
      <c r="AA295" s="163"/>
      <c r="AB295" s="163"/>
    </row>
    <row r="296" spans="27:28" x14ac:dyDescent="0.25">
      <c r="AA296" s="163"/>
      <c r="AB296" s="163"/>
    </row>
    <row r="297" spans="27:28" x14ac:dyDescent="0.25">
      <c r="AA297" s="163"/>
      <c r="AB297" s="163"/>
    </row>
    <row r="298" spans="27:28" x14ac:dyDescent="0.25">
      <c r="AA298" s="163"/>
      <c r="AB298" s="163"/>
    </row>
    <row r="299" spans="27:28" x14ac:dyDescent="0.25">
      <c r="AA299" s="163"/>
      <c r="AB299" s="163"/>
    </row>
    <row r="300" spans="27:28" x14ac:dyDescent="0.25">
      <c r="AA300" s="163"/>
      <c r="AB300" s="163"/>
    </row>
    <row r="301" spans="27:28" x14ac:dyDescent="0.25">
      <c r="AA301" s="163"/>
      <c r="AB301" s="163"/>
    </row>
    <row r="302" spans="27:28" x14ac:dyDescent="0.25">
      <c r="AA302" s="163"/>
      <c r="AB302" s="163"/>
    </row>
    <row r="303" spans="27:28" x14ac:dyDescent="0.25">
      <c r="AA303" s="163"/>
      <c r="AB303" s="163"/>
    </row>
    <row r="304" spans="27:28" x14ac:dyDescent="0.25">
      <c r="AA304" s="163"/>
      <c r="AB304" s="163"/>
    </row>
    <row r="305" spans="27:28" x14ac:dyDescent="0.25">
      <c r="AA305" s="163"/>
      <c r="AB305" s="163"/>
    </row>
    <row r="306" spans="27:28" x14ac:dyDescent="0.25">
      <c r="AA306" s="163"/>
      <c r="AB306" s="163"/>
    </row>
    <row r="307" spans="27:28" x14ac:dyDescent="0.25">
      <c r="AA307" s="163"/>
      <c r="AB307" s="163"/>
    </row>
    <row r="308" spans="27:28" x14ac:dyDescent="0.25">
      <c r="AA308" s="163"/>
      <c r="AB308" s="163"/>
    </row>
    <row r="309" spans="27:28" x14ac:dyDescent="0.25">
      <c r="AA309" s="163"/>
      <c r="AB309" s="163"/>
    </row>
    <row r="310" spans="27:28" x14ac:dyDescent="0.25">
      <c r="AA310" s="163"/>
      <c r="AB310" s="163"/>
    </row>
    <row r="311" spans="27:28" x14ac:dyDescent="0.25">
      <c r="AA311" s="163"/>
      <c r="AB311" s="163"/>
    </row>
    <row r="312" spans="27:28" x14ac:dyDescent="0.25">
      <c r="AA312" s="163"/>
      <c r="AB312" s="163"/>
    </row>
    <row r="313" spans="27:28" x14ac:dyDescent="0.25">
      <c r="AA313" s="163"/>
      <c r="AB313" s="163"/>
    </row>
    <row r="314" spans="27:28" x14ac:dyDescent="0.25">
      <c r="AA314" s="163"/>
      <c r="AB314" s="163"/>
    </row>
    <row r="315" spans="27:28" x14ac:dyDescent="0.25">
      <c r="AA315" s="163"/>
      <c r="AB315" s="163"/>
    </row>
    <row r="316" spans="27:28" x14ac:dyDescent="0.25">
      <c r="AA316" s="163"/>
      <c r="AB316" s="163"/>
    </row>
    <row r="317" spans="27:28" x14ac:dyDescent="0.25">
      <c r="AA317" s="163"/>
      <c r="AB317" s="163"/>
    </row>
    <row r="318" spans="27:28" x14ac:dyDescent="0.25">
      <c r="AA318" s="163"/>
      <c r="AB318" s="163"/>
    </row>
    <row r="319" spans="27:28" x14ac:dyDescent="0.25">
      <c r="AA319" s="163"/>
      <c r="AB319" s="163"/>
    </row>
    <row r="320" spans="27:28" x14ac:dyDescent="0.25">
      <c r="AA320" s="163"/>
      <c r="AB320" s="163"/>
    </row>
    <row r="321" spans="27:28" x14ac:dyDescent="0.25">
      <c r="AA321" s="163"/>
      <c r="AB321" s="163"/>
    </row>
    <row r="322" spans="27:28" x14ac:dyDescent="0.25">
      <c r="AA322" s="163"/>
      <c r="AB322" s="163"/>
    </row>
    <row r="323" spans="27:28" x14ac:dyDescent="0.25">
      <c r="AA323" s="163"/>
      <c r="AB323" s="163"/>
    </row>
    <row r="324" spans="27:28" x14ac:dyDescent="0.25">
      <c r="AA324" s="163"/>
      <c r="AB324" s="163"/>
    </row>
    <row r="325" spans="27:28" x14ac:dyDescent="0.25">
      <c r="AA325" s="163"/>
      <c r="AB325" s="163"/>
    </row>
    <row r="326" spans="27:28" x14ac:dyDescent="0.25">
      <c r="AA326" s="163"/>
      <c r="AB326" s="163"/>
    </row>
    <row r="327" spans="27:28" x14ac:dyDescent="0.25">
      <c r="AA327" s="163"/>
      <c r="AB327" s="163"/>
    </row>
    <row r="328" spans="27:28" x14ac:dyDescent="0.25">
      <c r="AA328" s="163"/>
      <c r="AB328" s="163"/>
    </row>
    <row r="329" spans="27:28" x14ac:dyDescent="0.25">
      <c r="AA329" s="163"/>
      <c r="AB329" s="163"/>
    </row>
    <row r="330" spans="27:28" x14ac:dyDescent="0.25">
      <c r="AA330" s="163"/>
      <c r="AB330" s="163"/>
    </row>
    <row r="331" spans="27:28" x14ac:dyDescent="0.25">
      <c r="AA331" s="163"/>
      <c r="AB331" s="163"/>
    </row>
    <row r="332" spans="27:28" x14ac:dyDescent="0.25">
      <c r="AA332" s="163"/>
      <c r="AB332" s="163"/>
    </row>
    <row r="333" spans="27:28" x14ac:dyDescent="0.25">
      <c r="AA333" s="163"/>
      <c r="AB333" s="163"/>
    </row>
    <row r="334" spans="27:28" x14ac:dyDescent="0.25">
      <c r="AA334" s="163"/>
      <c r="AB334" s="163"/>
    </row>
    <row r="335" spans="27:28" x14ac:dyDescent="0.25">
      <c r="AA335" s="163"/>
      <c r="AB335" s="163"/>
    </row>
    <row r="336" spans="27:28" x14ac:dyDescent="0.25">
      <c r="AA336" s="163"/>
      <c r="AB336" s="163"/>
    </row>
    <row r="337" spans="27:28" x14ac:dyDescent="0.25">
      <c r="AA337" s="163"/>
      <c r="AB337" s="163"/>
    </row>
    <row r="338" spans="27:28" x14ac:dyDescent="0.25">
      <c r="AA338" s="163"/>
      <c r="AB338" s="163"/>
    </row>
    <row r="339" spans="27:28" x14ac:dyDescent="0.25">
      <c r="AA339" s="163"/>
      <c r="AB339" s="163"/>
    </row>
    <row r="340" spans="27:28" x14ac:dyDescent="0.25">
      <c r="AA340" s="163"/>
      <c r="AB340" s="163"/>
    </row>
    <row r="341" spans="27:28" x14ac:dyDescent="0.25">
      <c r="AA341" s="163"/>
      <c r="AB341" s="163"/>
    </row>
    <row r="342" spans="27:28" x14ac:dyDescent="0.25">
      <c r="AA342" s="163"/>
      <c r="AB342" s="163"/>
    </row>
    <row r="343" spans="27:28" x14ac:dyDescent="0.25">
      <c r="AA343" s="163"/>
      <c r="AB343" s="163"/>
    </row>
    <row r="344" spans="27:28" x14ac:dyDescent="0.25">
      <c r="AA344" s="163"/>
      <c r="AB344" s="163"/>
    </row>
    <row r="345" spans="27:28" x14ac:dyDescent="0.25">
      <c r="AA345" s="163"/>
      <c r="AB345" s="163"/>
    </row>
    <row r="346" spans="27:28" x14ac:dyDescent="0.25">
      <c r="AA346" s="163"/>
      <c r="AB346" s="163"/>
    </row>
    <row r="347" spans="27:28" x14ac:dyDescent="0.25">
      <c r="AA347" s="163"/>
      <c r="AB347" s="163"/>
    </row>
    <row r="348" spans="27:28" x14ac:dyDescent="0.25">
      <c r="AA348" s="163"/>
      <c r="AB348" s="163"/>
    </row>
    <row r="349" spans="27:28" x14ac:dyDescent="0.25">
      <c r="AA349" s="163"/>
      <c r="AB349" s="163"/>
    </row>
    <row r="350" spans="27:28" x14ac:dyDescent="0.25">
      <c r="AA350" s="163"/>
      <c r="AB350" s="163"/>
    </row>
    <row r="351" spans="27:28" x14ac:dyDescent="0.25">
      <c r="AA351" s="163"/>
      <c r="AB351" s="163"/>
    </row>
    <row r="352" spans="27:28" x14ac:dyDescent="0.25">
      <c r="AA352" s="163"/>
      <c r="AB352" s="163"/>
    </row>
    <row r="353" spans="27:28" x14ac:dyDescent="0.25">
      <c r="AA353" s="163"/>
      <c r="AB353" s="163"/>
    </row>
    <row r="354" spans="27:28" x14ac:dyDescent="0.25">
      <c r="AA354" s="163"/>
      <c r="AB354" s="163"/>
    </row>
    <row r="355" spans="27:28" x14ac:dyDescent="0.25">
      <c r="AA355" s="163"/>
      <c r="AB355" s="163"/>
    </row>
    <row r="356" spans="27:28" x14ac:dyDescent="0.25">
      <c r="AA356" s="163"/>
      <c r="AB356" s="163"/>
    </row>
    <row r="357" spans="27:28" x14ac:dyDescent="0.25">
      <c r="AA357" s="163"/>
      <c r="AB357" s="163"/>
    </row>
    <row r="358" spans="27:28" x14ac:dyDescent="0.25">
      <c r="AA358" s="163"/>
      <c r="AB358" s="163"/>
    </row>
    <row r="359" spans="27:28" x14ac:dyDescent="0.25">
      <c r="AA359" s="163"/>
      <c r="AB359" s="163"/>
    </row>
    <row r="360" spans="27:28" x14ac:dyDescent="0.25">
      <c r="AA360" s="163"/>
      <c r="AB360" s="163"/>
    </row>
    <row r="361" spans="27:28" x14ac:dyDescent="0.25">
      <c r="AA361" s="163"/>
      <c r="AB361" s="163"/>
    </row>
    <row r="362" spans="27:28" x14ac:dyDescent="0.25">
      <c r="AA362" s="163"/>
      <c r="AB362" s="163"/>
    </row>
    <row r="363" spans="27:28" x14ac:dyDescent="0.25">
      <c r="AA363" s="163"/>
      <c r="AB363" s="163"/>
    </row>
    <row r="364" spans="27:28" x14ac:dyDescent="0.25">
      <c r="AA364" s="163"/>
      <c r="AB364" s="163"/>
    </row>
    <row r="365" spans="27:28" x14ac:dyDescent="0.25">
      <c r="AA365" s="163"/>
      <c r="AB365" s="163"/>
    </row>
    <row r="366" spans="27:28" x14ac:dyDescent="0.25">
      <c r="AA366" s="163"/>
      <c r="AB366" s="163"/>
    </row>
    <row r="367" spans="27:28" x14ac:dyDescent="0.25">
      <c r="AA367" s="163"/>
      <c r="AB367" s="163"/>
    </row>
    <row r="368" spans="27:28" x14ac:dyDescent="0.25">
      <c r="AA368" s="163"/>
      <c r="AB368" s="163"/>
    </row>
    <row r="369" spans="27:28" x14ac:dyDescent="0.25">
      <c r="AA369" s="163"/>
      <c r="AB369" s="163"/>
    </row>
    <row r="370" spans="27:28" x14ac:dyDescent="0.25">
      <c r="AA370" s="163"/>
      <c r="AB370" s="163"/>
    </row>
    <row r="371" spans="27:28" x14ac:dyDescent="0.25">
      <c r="AA371" s="163"/>
      <c r="AB371" s="163"/>
    </row>
    <row r="372" spans="27:28" x14ac:dyDescent="0.25">
      <c r="AA372" s="163"/>
      <c r="AB372" s="163"/>
    </row>
    <row r="373" spans="27:28" x14ac:dyDescent="0.25">
      <c r="AA373" s="163"/>
      <c r="AB373" s="163"/>
    </row>
    <row r="374" spans="27:28" x14ac:dyDescent="0.25">
      <c r="AA374" s="163"/>
      <c r="AB374" s="163"/>
    </row>
    <row r="375" spans="27:28" x14ac:dyDescent="0.25">
      <c r="AA375" s="163"/>
      <c r="AB375" s="163"/>
    </row>
    <row r="376" spans="27:28" x14ac:dyDescent="0.25">
      <c r="AA376" s="163"/>
      <c r="AB376" s="163"/>
    </row>
    <row r="377" spans="27:28" x14ac:dyDescent="0.25">
      <c r="AA377" s="163"/>
      <c r="AB377" s="163"/>
    </row>
    <row r="378" spans="27:28" x14ac:dyDescent="0.25">
      <c r="AA378" s="163"/>
      <c r="AB378" s="163"/>
    </row>
    <row r="379" spans="27:28" x14ac:dyDescent="0.25">
      <c r="AA379" s="163"/>
      <c r="AB379" s="163"/>
    </row>
    <row r="380" spans="27:28" x14ac:dyDescent="0.25">
      <c r="AA380" s="163"/>
      <c r="AB380" s="163"/>
    </row>
    <row r="381" spans="27:28" x14ac:dyDescent="0.25">
      <c r="AA381" s="163"/>
      <c r="AB381" s="163"/>
    </row>
    <row r="382" spans="27:28" x14ac:dyDescent="0.25">
      <c r="AA382" s="163"/>
      <c r="AB382" s="163"/>
    </row>
    <row r="383" spans="27:28" x14ac:dyDescent="0.25">
      <c r="AA383" s="163"/>
      <c r="AB383" s="163"/>
    </row>
    <row r="384" spans="27:28" x14ac:dyDescent="0.25">
      <c r="AA384" s="163"/>
      <c r="AB384" s="163"/>
    </row>
    <row r="385" spans="27:28" x14ac:dyDescent="0.25">
      <c r="AA385" s="163"/>
      <c r="AB385" s="163"/>
    </row>
    <row r="386" spans="27:28" x14ac:dyDescent="0.25">
      <c r="AA386" s="163"/>
      <c r="AB386" s="163"/>
    </row>
    <row r="387" spans="27:28" x14ac:dyDescent="0.25">
      <c r="AA387" s="163"/>
      <c r="AB387" s="163"/>
    </row>
    <row r="388" spans="27:28" x14ac:dyDescent="0.25">
      <c r="AA388" s="163"/>
      <c r="AB388" s="163"/>
    </row>
    <row r="389" spans="27:28" x14ac:dyDescent="0.25">
      <c r="AA389" s="163"/>
      <c r="AB389" s="163"/>
    </row>
    <row r="390" spans="27:28" x14ac:dyDescent="0.25">
      <c r="AA390" s="163"/>
      <c r="AB390" s="163"/>
    </row>
    <row r="391" spans="27:28" x14ac:dyDescent="0.25">
      <c r="AA391" s="163"/>
      <c r="AB391" s="163"/>
    </row>
    <row r="392" spans="27:28" x14ac:dyDescent="0.25">
      <c r="AA392" s="163"/>
      <c r="AB392" s="163"/>
    </row>
    <row r="393" spans="27:28" x14ac:dyDescent="0.25">
      <c r="AA393" s="163"/>
      <c r="AB393" s="163"/>
    </row>
    <row r="394" spans="27:28" x14ac:dyDescent="0.25">
      <c r="AA394" s="163"/>
      <c r="AB394" s="163"/>
    </row>
    <row r="395" spans="27:28" x14ac:dyDescent="0.25">
      <c r="AA395" s="163"/>
      <c r="AB395" s="163"/>
    </row>
    <row r="396" spans="27:28" x14ac:dyDescent="0.25">
      <c r="AA396" s="163"/>
      <c r="AB396" s="163"/>
    </row>
    <row r="397" spans="27:28" x14ac:dyDescent="0.25">
      <c r="AA397" s="163"/>
      <c r="AB397" s="163"/>
    </row>
    <row r="398" spans="27:28" x14ac:dyDescent="0.25">
      <c r="AA398" s="163"/>
      <c r="AB398" s="163"/>
    </row>
    <row r="399" spans="27:28" x14ac:dyDescent="0.25">
      <c r="AA399" s="163"/>
      <c r="AB399" s="163"/>
    </row>
    <row r="400" spans="27:28" x14ac:dyDescent="0.25">
      <c r="AA400" s="163"/>
      <c r="AB400" s="163"/>
    </row>
    <row r="401" spans="27:28" x14ac:dyDescent="0.25">
      <c r="AA401" s="163"/>
      <c r="AB401" s="163"/>
    </row>
    <row r="402" spans="27:28" x14ac:dyDescent="0.25">
      <c r="AA402" s="163"/>
      <c r="AB402" s="163"/>
    </row>
    <row r="403" spans="27:28" x14ac:dyDescent="0.25">
      <c r="AA403" s="163"/>
      <c r="AB403" s="163"/>
    </row>
    <row r="404" spans="27:28" x14ac:dyDescent="0.25">
      <c r="AA404" s="163"/>
      <c r="AB404" s="163"/>
    </row>
    <row r="405" spans="27:28" x14ac:dyDescent="0.25">
      <c r="AA405" s="163"/>
      <c r="AB405" s="163"/>
    </row>
    <row r="406" spans="27:28" x14ac:dyDescent="0.25">
      <c r="AA406" s="163"/>
      <c r="AB406" s="163"/>
    </row>
    <row r="407" spans="27:28" x14ac:dyDescent="0.25">
      <c r="AA407" s="163"/>
      <c r="AB407" s="163"/>
    </row>
    <row r="408" spans="27:28" x14ac:dyDescent="0.25">
      <c r="AA408" s="163"/>
      <c r="AB408" s="163"/>
    </row>
    <row r="409" spans="27:28" x14ac:dyDescent="0.25">
      <c r="AA409" s="163"/>
      <c r="AB409" s="163"/>
    </row>
    <row r="410" spans="27:28" x14ac:dyDescent="0.25">
      <c r="AA410" s="163"/>
      <c r="AB410" s="163"/>
    </row>
    <row r="411" spans="27:28" x14ac:dyDescent="0.25">
      <c r="AA411" s="163"/>
      <c r="AB411" s="163"/>
    </row>
    <row r="412" spans="27:28" x14ac:dyDescent="0.25">
      <c r="AA412" s="163"/>
      <c r="AB412" s="163"/>
    </row>
    <row r="413" spans="27:28" x14ac:dyDescent="0.25">
      <c r="AA413" s="163"/>
      <c r="AB413" s="163"/>
    </row>
    <row r="414" spans="27:28" x14ac:dyDescent="0.25">
      <c r="AA414" s="163"/>
      <c r="AB414" s="163"/>
    </row>
    <row r="415" spans="27:28" x14ac:dyDescent="0.25">
      <c r="AA415" s="163"/>
      <c r="AB415" s="163"/>
    </row>
    <row r="416" spans="27:28" x14ac:dyDescent="0.25">
      <c r="AA416" s="163"/>
      <c r="AB416" s="163"/>
    </row>
    <row r="417" spans="27:28" x14ac:dyDescent="0.25">
      <c r="AA417" s="163"/>
      <c r="AB417" s="163"/>
    </row>
    <row r="418" spans="27:28" x14ac:dyDescent="0.25">
      <c r="AA418" s="163"/>
      <c r="AB418" s="163"/>
    </row>
    <row r="419" spans="27:28" x14ac:dyDescent="0.25">
      <c r="AA419" s="163"/>
      <c r="AB419" s="163"/>
    </row>
    <row r="420" spans="27:28" x14ac:dyDescent="0.25">
      <c r="AA420" s="163"/>
      <c r="AB420" s="163"/>
    </row>
    <row r="421" spans="27:28" x14ac:dyDescent="0.25">
      <c r="AA421" s="163"/>
      <c r="AB421" s="163"/>
    </row>
    <row r="422" spans="27:28" x14ac:dyDescent="0.25">
      <c r="AA422" s="163"/>
      <c r="AB422" s="163"/>
    </row>
    <row r="423" spans="27:28" x14ac:dyDescent="0.25">
      <c r="AA423" s="163"/>
      <c r="AB423" s="163"/>
    </row>
    <row r="424" spans="27:28" x14ac:dyDescent="0.25">
      <c r="AA424" s="163"/>
      <c r="AB424" s="163"/>
    </row>
    <row r="425" spans="27:28" x14ac:dyDescent="0.25">
      <c r="AA425" s="163"/>
      <c r="AB425" s="163"/>
    </row>
    <row r="426" spans="27:28" x14ac:dyDescent="0.25">
      <c r="AA426" s="163"/>
      <c r="AB426" s="163"/>
    </row>
    <row r="427" spans="27:28" x14ac:dyDescent="0.25">
      <c r="AA427" s="163"/>
      <c r="AB427" s="163"/>
    </row>
    <row r="428" spans="27:28" x14ac:dyDescent="0.25">
      <c r="AA428" s="163"/>
      <c r="AB428" s="163"/>
    </row>
    <row r="429" spans="27:28" x14ac:dyDescent="0.25">
      <c r="AA429" s="163"/>
      <c r="AB429" s="163"/>
    </row>
    <row r="430" spans="27:28" x14ac:dyDescent="0.25">
      <c r="AA430" s="163"/>
      <c r="AB430" s="163"/>
    </row>
    <row r="431" spans="27:28" x14ac:dyDescent="0.25">
      <c r="AA431" s="163"/>
      <c r="AB431" s="163"/>
    </row>
    <row r="432" spans="27:28" x14ac:dyDescent="0.25">
      <c r="AA432" s="163"/>
      <c r="AB432" s="163"/>
    </row>
    <row r="433" spans="27:28" x14ac:dyDescent="0.25">
      <c r="AA433" s="163"/>
      <c r="AB433" s="163"/>
    </row>
    <row r="434" spans="27:28" x14ac:dyDescent="0.25">
      <c r="AA434" s="163"/>
      <c r="AB434" s="163"/>
    </row>
    <row r="435" spans="27:28" x14ac:dyDescent="0.25">
      <c r="AA435" s="163"/>
      <c r="AB435" s="163"/>
    </row>
    <row r="436" spans="27:28" x14ac:dyDescent="0.25">
      <c r="AA436" s="163"/>
      <c r="AB436" s="163"/>
    </row>
    <row r="437" spans="27:28" x14ac:dyDescent="0.25">
      <c r="AA437" s="163"/>
      <c r="AB437" s="163"/>
    </row>
    <row r="438" spans="27:28" x14ac:dyDescent="0.25">
      <c r="AA438" s="163"/>
      <c r="AB438" s="163"/>
    </row>
    <row r="439" spans="27:28" x14ac:dyDescent="0.25">
      <c r="AA439" s="163"/>
      <c r="AB439" s="163"/>
    </row>
    <row r="440" spans="27:28" x14ac:dyDescent="0.25">
      <c r="AA440" s="163"/>
      <c r="AB440" s="163"/>
    </row>
    <row r="441" spans="27:28" x14ac:dyDescent="0.25">
      <c r="AA441" s="163"/>
      <c r="AB441" s="163"/>
    </row>
  </sheetData>
  <mergeCells count="28">
    <mergeCell ref="AJ81:AK81"/>
    <mergeCell ref="AE80:AK80"/>
    <mergeCell ref="AE81:AG81"/>
    <mergeCell ref="F64:I64"/>
    <mergeCell ref="AG64:AJ64"/>
    <mergeCell ref="C80:I80"/>
    <mergeCell ref="C81:E81"/>
    <mergeCell ref="F81:G81"/>
    <mergeCell ref="H81:I81"/>
    <mergeCell ref="G18:J18"/>
    <mergeCell ref="D118:H118"/>
    <mergeCell ref="J118:M118"/>
    <mergeCell ref="B129:C129"/>
    <mergeCell ref="D129:E129"/>
    <mergeCell ref="G100:J100"/>
    <mergeCell ref="C100:F100"/>
    <mergeCell ref="K100:N100"/>
    <mergeCell ref="C99:N99"/>
    <mergeCell ref="B139:C139"/>
    <mergeCell ref="B140:C140"/>
    <mergeCell ref="B128:E128"/>
    <mergeCell ref="G128:J128"/>
    <mergeCell ref="G129:H129"/>
    <mergeCell ref="I129:J129"/>
    <mergeCell ref="B136:J136"/>
    <mergeCell ref="B137:C137"/>
    <mergeCell ref="H137:J137"/>
    <mergeCell ref="B138:C13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M133"/>
  <sheetViews>
    <sheetView topLeftCell="A115" workbookViewId="0">
      <selection activeCell="H56" sqref="H56"/>
    </sheetView>
  </sheetViews>
  <sheetFormatPr defaultRowHeight="15" x14ac:dyDescent="0.25"/>
  <sheetData>
    <row r="2" spans="3:39" x14ac:dyDescent="0.25"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3:39" x14ac:dyDescent="0.25">
      <c r="C3" s="26"/>
      <c r="D3" s="26"/>
      <c r="E3" s="13" t="s">
        <v>8</v>
      </c>
      <c r="F3" s="13" t="s">
        <v>7</v>
      </c>
      <c r="G3" s="13" t="s">
        <v>8</v>
      </c>
      <c r="H3" s="13" t="s">
        <v>7</v>
      </c>
      <c r="I3" s="13" t="s">
        <v>8</v>
      </c>
      <c r="J3" s="13" t="s">
        <v>7</v>
      </c>
      <c r="K3" s="13" t="s">
        <v>8</v>
      </c>
      <c r="L3" s="13" t="s">
        <v>7</v>
      </c>
      <c r="M3" s="13" t="s">
        <v>8</v>
      </c>
      <c r="N3" s="13" t="s">
        <v>7</v>
      </c>
      <c r="O3" s="13" t="s">
        <v>8</v>
      </c>
      <c r="P3" s="13" t="s">
        <v>7</v>
      </c>
      <c r="Q3" s="43" t="s">
        <v>8</v>
      </c>
      <c r="R3" s="43" t="s">
        <v>7</v>
      </c>
      <c r="S3" s="43" t="s">
        <v>8</v>
      </c>
      <c r="T3" s="43" t="s">
        <v>7</v>
      </c>
      <c r="V3" s="18"/>
      <c r="W3" s="18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</row>
    <row r="4" spans="3:39" ht="18" x14ac:dyDescent="0.35">
      <c r="C4" s="22" t="s">
        <v>0</v>
      </c>
      <c r="D4" s="13" t="s">
        <v>12</v>
      </c>
      <c r="E4" s="13" t="s">
        <v>2</v>
      </c>
      <c r="F4" s="13" t="s">
        <v>2</v>
      </c>
      <c r="G4" s="13" t="s">
        <v>3</v>
      </c>
      <c r="H4" s="13" t="s">
        <v>3</v>
      </c>
      <c r="I4" s="13" t="s">
        <v>4</v>
      </c>
      <c r="J4" s="13" t="s">
        <v>4</v>
      </c>
      <c r="K4" s="13" t="s">
        <v>10</v>
      </c>
      <c r="L4" s="13" t="s">
        <v>10</v>
      </c>
      <c r="M4" s="13" t="s">
        <v>9</v>
      </c>
      <c r="N4" s="13" t="s">
        <v>9</v>
      </c>
      <c r="O4" s="13" t="s">
        <v>13</v>
      </c>
      <c r="P4" s="13" t="s">
        <v>13</v>
      </c>
      <c r="Q4" s="43" t="s">
        <v>25</v>
      </c>
      <c r="R4" s="43" t="s">
        <v>25</v>
      </c>
      <c r="S4" s="43" t="s">
        <v>9</v>
      </c>
      <c r="T4" s="43" t="s">
        <v>9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</row>
    <row r="5" spans="3:39" x14ac:dyDescent="0.25">
      <c r="C5" s="23" t="s">
        <v>6</v>
      </c>
      <c r="D5" s="27">
        <v>5</v>
      </c>
      <c r="E5" s="27">
        <v>7.3999999999999996E-2</v>
      </c>
      <c r="F5" s="27">
        <v>7.8E-2</v>
      </c>
      <c r="G5" s="27">
        <f t="shared" ref="G5:H7" si="0">(E5-0.0102)/0.0007</f>
        <v>91.142857142857139</v>
      </c>
      <c r="H5" s="27">
        <f t="shared" si="0"/>
        <v>96.857142857142861</v>
      </c>
      <c r="I5" s="27">
        <f t="shared" ref="I5:J7" si="1">((150-G5)/150)*100</f>
        <v>39.238095238095241</v>
      </c>
      <c r="J5" s="27">
        <f t="shared" si="1"/>
        <v>35.428571428571423</v>
      </c>
      <c r="K5" s="27">
        <f>AVERAGE(I5:I7)</f>
        <v>37.968253968253968</v>
      </c>
      <c r="L5" s="27">
        <f>AVERAGE(J5:J7)</f>
        <v>34.158730158730151</v>
      </c>
      <c r="M5" s="27">
        <f>_xlfn.STDEV.S(I5:I7)</f>
        <v>2.1994295969128648</v>
      </c>
      <c r="N5" s="27">
        <f>_xlfn.STDEV.S(J5:J7)</f>
        <v>1.0997147984564302</v>
      </c>
      <c r="O5" s="27">
        <f t="shared" ref="O5:P7" si="2">((150-G5)/1)*0.05</f>
        <v>2.9428571428571431</v>
      </c>
      <c r="P5" s="27">
        <f t="shared" si="2"/>
        <v>2.657142857142857</v>
      </c>
      <c r="Q5" s="44">
        <f>AVERAGE(O5:O7)</f>
        <v>2.8476190476190477</v>
      </c>
      <c r="R5" s="44">
        <f>AVERAGE(P5:P7)</f>
        <v>2.5619047619047617</v>
      </c>
      <c r="S5" s="45">
        <f>_xlfn.STDEV.S(O5:O7)</f>
        <v>0.16495721976846467</v>
      </c>
      <c r="T5" s="45">
        <f>_xlfn.STDEV.S(P5:P7)</f>
        <v>8.247860988423221E-2</v>
      </c>
      <c r="V5" s="18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8"/>
      <c r="AM5" s="18"/>
    </row>
    <row r="6" spans="3:39" x14ac:dyDescent="0.25">
      <c r="C6" s="23" t="s">
        <v>14</v>
      </c>
      <c r="D6" s="27"/>
      <c r="E6" s="27">
        <v>7.3999999999999996E-2</v>
      </c>
      <c r="F6" s="27">
        <v>0.08</v>
      </c>
      <c r="G6" s="27">
        <f t="shared" si="0"/>
        <v>91.142857142857139</v>
      </c>
      <c r="H6" s="27">
        <f t="shared" si="0"/>
        <v>99.714285714285722</v>
      </c>
      <c r="I6" s="27">
        <f t="shared" si="1"/>
        <v>39.238095238095241</v>
      </c>
      <c r="J6" s="27">
        <f t="shared" si="1"/>
        <v>33.523809523809518</v>
      </c>
      <c r="K6" s="27"/>
      <c r="L6" s="27"/>
      <c r="M6" s="27"/>
      <c r="N6" s="27"/>
      <c r="O6" s="27">
        <f t="shared" si="2"/>
        <v>2.9428571428571431</v>
      </c>
      <c r="P6" s="27">
        <f t="shared" si="2"/>
        <v>2.5142857142857142</v>
      </c>
      <c r="Q6" s="44"/>
      <c r="R6" s="44"/>
      <c r="S6" s="44"/>
      <c r="T6" s="45"/>
      <c r="V6" s="18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18"/>
    </row>
    <row r="7" spans="3:39" x14ac:dyDescent="0.25">
      <c r="C7" s="23"/>
      <c r="D7" s="27"/>
      <c r="E7" s="27">
        <v>7.8E-2</v>
      </c>
      <c r="F7" s="27">
        <v>0.08</v>
      </c>
      <c r="G7" s="27">
        <f t="shared" si="0"/>
        <v>96.857142857142861</v>
      </c>
      <c r="H7" s="27">
        <f t="shared" si="0"/>
        <v>99.714285714285722</v>
      </c>
      <c r="I7" s="27">
        <f t="shared" si="1"/>
        <v>35.428571428571423</v>
      </c>
      <c r="J7" s="27">
        <f t="shared" si="1"/>
        <v>33.523809523809518</v>
      </c>
      <c r="K7" s="27"/>
      <c r="L7" s="27"/>
      <c r="M7" s="27"/>
      <c r="N7" s="27"/>
      <c r="O7" s="27">
        <f t="shared" si="2"/>
        <v>2.657142857142857</v>
      </c>
      <c r="P7" s="27">
        <f t="shared" si="2"/>
        <v>2.5142857142857142</v>
      </c>
      <c r="Q7" s="44"/>
      <c r="R7" s="44"/>
      <c r="S7" s="44"/>
      <c r="T7" s="45"/>
      <c r="V7" s="18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18"/>
    </row>
    <row r="8" spans="3:39" x14ac:dyDescent="0.25">
      <c r="C8" s="23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6"/>
      <c r="Q8" s="45"/>
      <c r="R8" s="45"/>
      <c r="S8" s="44"/>
      <c r="T8" s="45"/>
      <c r="V8" s="18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18"/>
      <c r="AJ8" s="18"/>
      <c r="AK8" s="18"/>
      <c r="AL8" s="21"/>
      <c r="AM8" s="18"/>
    </row>
    <row r="9" spans="3:39" x14ac:dyDescent="0.25">
      <c r="C9" s="23"/>
      <c r="D9" s="27">
        <v>10</v>
      </c>
      <c r="E9" s="27">
        <v>6.9000000000000006E-2</v>
      </c>
      <c r="F9" s="27">
        <v>7.2999999999999995E-2</v>
      </c>
      <c r="G9" s="27">
        <f t="shared" ref="G9:H11" si="3">(E9-0.0102)/0.0007</f>
        <v>84.000000000000014</v>
      </c>
      <c r="H9" s="27">
        <f t="shared" si="3"/>
        <v>89.714285714285708</v>
      </c>
      <c r="I9" s="27">
        <f t="shared" ref="I9:J11" si="4">((150-G9)/150)*100</f>
        <v>43.999999999999986</v>
      </c>
      <c r="J9" s="27">
        <f t="shared" si="4"/>
        <v>40.19047619047619</v>
      </c>
      <c r="K9" s="27">
        <f>AVERAGE(I9:I11)</f>
        <v>43.682539682539677</v>
      </c>
      <c r="L9" s="27">
        <f>AVERAGE(J9:J11)</f>
        <v>38.603174603174608</v>
      </c>
      <c r="M9" s="27">
        <f>_xlfn.STDEV.S(I9:I11)</f>
        <v>1.4547859349066061</v>
      </c>
      <c r="N9" s="27">
        <f>_xlfn.STDEV.S(J9:J11)</f>
        <v>1.4547859349066139</v>
      </c>
      <c r="O9" s="27">
        <f t="shared" ref="O9:P11" si="5">((150-G9)/1)*0.05</f>
        <v>3.2999999999999994</v>
      </c>
      <c r="P9" s="27">
        <f t="shared" si="5"/>
        <v>3.0142857142857147</v>
      </c>
      <c r="Q9" s="44">
        <f>AVERAGE(O9:O11)</f>
        <v>3.2761904761904765</v>
      </c>
      <c r="R9" s="44">
        <f>AVERAGE(P9:P11)</f>
        <v>2.8952380952380956</v>
      </c>
      <c r="S9" s="45">
        <f>_xlfn.STDEV.S(O9:O11)</f>
        <v>0.10910894511799551</v>
      </c>
      <c r="T9" s="45">
        <f>_xlfn.STDEV.S(P9:P11)</f>
        <v>0.10910894511799624</v>
      </c>
      <c r="V9" s="18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8"/>
      <c r="AM9" s="18"/>
    </row>
    <row r="10" spans="3:39" x14ac:dyDescent="0.25">
      <c r="C10" s="23"/>
      <c r="D10" s="27"/>
      <c r="E10" s="27">
        <v>7.0999999999999994E-2</v>
      </c>
      <c r="F10" s="27">
        <v>7.4999999999999997E-2</v>
      </c>
      <c r="G10" s="27">
        <f t="shared" si="3"/>
        <v>86.857142857142847</v>
      </c>
      <c r="H10" s="27">
        <f t="shared" si="3"/>
        <v>92.571428571428569</v>
      </c>
      <c r="I10" s="27">
        <f t="shared" si="4"/>
        <v>42.095238095238102</v>
      </c>
      <c r="J10" s="27">
        <f t="shared" si="4"/>
        <v>38.285714285714292</v>
      </c>
      <c r="K10" s="27"/>
      <c r="L10" s="27"/>
      <c r="M10" s="27"/>
      <c r="N10" s="27"/>
      <c r="O10" s="27">
        <f t="shared" si="5"/>
        <v>3.1571428571428579</v>
      </c>
      <c r="P10" s="27">
        <f t="shared" si="5"/>
        <v>2.8714285714285719</v>
      </c>
      <c r="Q10" s="44"/>
      <c r="R10" s="44"/>
      <c r="S10" s="44"/>
      <c r="T10" s="45"/>
      <c r="V10" s="18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18"/>
    </row>
    <row r="11" spans="3:39" x14ac:dyDescent="0.25">
      <c r="C11" s="23"/>
      <c r="D11" s="27"/>
      <c r="E11" s="27">
        <v>6.8000000000000005E-2</v>
      </c>
      <c r="F11" s="27">
        <v>7.5999999999999998E-2</v>
      </c>
      <c r="G11" s="27">
        <f t="shared" si="3"/>
        <v>82.571428571428584</v>
      </c>
      <c r="H11" s="27">
        <f t="shared" si="3"/>
        <v>94</v>
      </c>
      <c r="I11" s="27">
        <f t="shared" si="4"/>
        <v>44.952380952380942</v>
      </c>
      <c r="J11" s="27">
        <f t="shared" si="4"/>
        <v>37.333333333333336</v>
      </c>
      <c r="K11" s="27"/>
      <c r="L11" s="27"/>
      <c r="M11" s="27"/>
      <c r="N11" s="27"/>
      <c r="O11" s="27">
        <f t="shared" si="5"/>
        <v>3.371428571428571</v>
      </c>
      <c r="P11" s="27">
        <f t="shared" si="5"/>
        <v>2.8000000000000003</v>
      </c>
      <c r="Q11" s="44"/>
      <c r="R11" s="44"/>
      <c r="S11" s="44"/>
      <c r="T11" s="45"/>
      <c r="V11" s="18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18"/>
    </row>
    <row r="12" spans="3:39" x14ac:dyDescent="0.25">
      <c r="C12" s="23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6"/>
      <c r="Q12" s="45"/>
      <c r="R12" s="45"/>
      <c r="S12" s="44"/>
      <c r="T12" s="45"/>
      <c r="V12" s="18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18"/>
      <c r="AJ12" s="18"/>
      <c r="AK12" s="18"/>
      <c r="AL12" s="21"/>
      <c r="AM12" s="18"/>
    </row>
    <row r="13" spans="3:39" x14ac:dyDescent="0.25">
      <c r="C13" s="23"/>
      <c r="D13" s="27">
        <v>15</v>
      </c>
      <c r="E13" s="27">
        <v>6.5000000000000002E-2</v>
      </c>
      <c r="F13" s="27">
        <v>6.9000000000000006E-2</v>
      </c>
      <c r="G13" s="27">
        <f t="shared" ref="G13:H15" si="6">(E13-0.0102)/0.0007</f>
        <v>78.285714285714292</v>
      </c>
      <c r="H13" s="27">
        <f t="shared" si="6"/>
        <v>84.000000000000014</v>
      </c>
      <c r="I13" s="27">
        <f t="shared" ref="I13:J15" si="7">((150-G13)/150)*100</f>
        <v>47.80952380952381</v>
      </c>
      <c r="J13" s="27">
        <f t="shared" si="7"/>
        <v>43.999999999999986</v>
      </c>
      <c r="K13" s="27">
        <f>AVERAGE(I13:I15)</f>
        <v>49.714285714285715</v>
      </c>
      <c r="L13" s="27">
        <f>AVERAGE(J13:J15)</f>
        <v>43.047619047619037</v>
      </c>
      <c r="M13" s="27">
        <f>_xlfn.STDEV.S(I13:I15)</f>
        <v>2.5197631533948472</v>
      </c>
      <c r="N13" s="27">
        <f>_xlfn.STDEV.S(J13:J15)</f>
        <v>0.95238095238094189</v>
      </c>
      <c r="O13" s="27">
        <f t="shared" ref="O13:P15" si="8">((150-G13)/1)*0.05</f>
        <v>3.5857142857142854</v>
      </c>
      <c r="P13" s="27">
        <f t="shared" si="8"/>
        <v>3.2999999999999994</v>
      </c>
      <c r="Q13" s="44">
        <f>AVERAGE(O13:O15)</f>
        <v>3.7285714285714282</v>
      </c>
      <c r="R13" s="44">
        <f>AVERAGE(P13:P15)</f>
        <v>3.2285714285714282</v>
      </c>
      <c r="S13" s="45">
        <f>_xlfn.STDEV.S(O13:O15)</f>
        <v>0.18898223650461388</v>
      </c>
      <c r="T13" s="45">
        <f>_xlfn.STDEV.S(P13:P15)</f>
        <v>7.1428571428570731E-2</v>
      </c>
      <c r="V13" s="18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"/>
      <c r="AM13" s="18"/>
    </row>
    <row r="14" spans="3:39" x14ac:dyDescent="0.25">
      <c r="C14" s="23"/>
      <c r="D14" s="27"/>
      <c r="E14" s="27">
        <v>6.4000000000000001E-2</v>
      </c>
      <c r="F14" s="27">
        <v>7.0999999999999994E-2</v>
      </c>
      <c r="G14" s="27">
        <f t="shared" si="6"/>
        <v>76.857142857142861</v>
      </c>
      <c r="H14" s="27">
        <f t="shared" si="6"/>
        <v>86.857142857142847</v>
      </c>
      <c r="I14" s="27">
        <f t="shared" si="7"/>
        <v>48.761904761904759</v>
      </c>
      <c r="J14" s="27">
        <f t="shared" si="7"/>
        <v>42.095238095238102</v>
      </c>
      <c r="K14" s="27"/>
      <c r="L14" s="27"/>
      <c r="M14" s="27"/>
      <c r="N14" s="27"/>
      <c r="O14" s="27">
        <f t="shared" si="8"/>
        <v>3.657142857142857</v>
      </c>
      <c r="P14" s="27">
        <f t="shared" si="8"/>
        <v>3.1571428571428579</v>
      </c>
      <c r="Q14" s="44"/>
      <c r="R14" s="44"/>
      <c r="S14" s="44"/>
      <c r="T14" s="45"/>
      <c r="V14" s="18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18"/>
    </row>
    <row r="15" spans="3:39" x14ac:dyDescent="0.25">
      <c r="C15" s="23"/>
      <c r="D15" s="27"/>
      <c r="E15" s="27">
        <v>0.06</v>
      </c>
      <c r="F15" s="27">
        <v>7.0000000000000007E-2</v>
      </c>
      <c r="G15" s="27">
        <f t="shared" si="6"/>
        <v>71.142857142857139</v>
      </c>
      <c r="H15" s="27">
        <f t="shared" si="6"/>
        <v>85.428571428571445</v>
      </c>
      <c r="I15" s="27">
        <f t="shared" si="7"/>
        <v>52.571428571428569</v>
      </c>
      <c r="J15" s="27">
        <f t="shared" si="7"/>
        <v>43.047619047619037</v>
      </c>
      <c r="K15" s="27"/>
      <c r="L15" s="27"/>
      <c r="M15" s="27"/>
      <c r="N15" s="27"/>
      <c r="O15" s="27">
        <f t="shared" si="8"/>
        <v>3.9428571428571431</v>
      </c>
      <c r="P15" s="27">
        <f t="shared" si="8"/>
        <v>3.2285714285714278</v>
      </c>
      <c r="Q15" s="44"/>
      <c r="R15" s="44"/>
      <c r="S15" s="44"/>
      <c r="T15" s="45"/>
      <c r="V15" s="18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18"/>
    </row>
    <row r="16" spans="3:39" x14ac:dyDescent="0.25">
      <c r="C16" s="23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6"/>
      <c r="Q16" s="45"/>
      <c r="R16" s="45"/>
      <c r="S16" s="45"/>
      <c r="T16" s="45"/>
      <c r="V16" s="18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18"/>
      <c r="AJ16" s="18"/>
      <c r="AK16" s="18"/>
      <c r="AL16" s="18"/>
      <c r="AM16" s="18"/>
    </row>
    <row r="17" spans="3:39" x14ac:dyDescent="0.25">
      <c r="C17" s="23"/>
      <c r="D17" s="27">
        <v>20</v>
      </c>
      <c r="E17" s="27">
        <v>5.8999999999999997E-2</v>
      </c>
      <c r="F17" s="27">
        <v>6.2E-2</v>
      </c>
      <c r="G17" s="27">
        <f t="shared" ref="G17:H19" si="9">(E17-0.0102)/0.0007</f>
        <v>69.714285714285708</v>
      </c>
      <c r="H17" s="27">
        <f t="shared" si="9"/>
        <v>74</v>
      </c>
      <c r="I17" s="27">
        <f t="shared" ref="I17:J19" si="10">((150-G17)/150)*100</f>
        <v>53.523809523809533</v>
      </c>
      <c r="J17" s="27">
        <f t="shared" si="10"/>
        <v>50.666666666666671</v>
      </c>
      <c r="K17" s="27">
        <f>AVERAGE(I17:I19)</f>
        <v>56.06349206349207</v>
      </c>
      <c r="L17" s="27">
        <f>AVERAGE(J17:J19)</f>
        <v>48.761904761904759</v>
      </c>
      <c r="M17" s="27">
        <f>_xlfn.STDEV.S(I17:I19)</f>
        <v>2.1994295969128563</v>
      </c>
      <c r="N17" s="27">
        <f>_xlfn.STDEV.S(J17:J19)</f>
        <v>1.9047619047619084</v>
      </c>
      <c r="O17" s="27">
        <f t="shared" ref="O17:P19" si="11">((150-G17)/1)*0.05</f>
        <v>4.0142857142857151</v>
      </c>
      <c r="P17" s="27">
        <f t="shared" si="11"/>
        <v>3.8000000000000003</v>
      </c>
      <c r="Q17" s="44">
        <f>AVERAGE(O17:O19)</f>
        <v>4.2047619047619049</v>
      </c>
      <c r="R17" s="44">
        <f>AVERAGE(P17:P19)</f>
        <v>3.657142857142857</v>
      </c>
      <c r="S17" s="45">
        <f>_xlfn.STDEV.S(O17:O19)</f>
        <v>0.16495721976846392</v>
      </c>
      <c r="T17" s="45">
        <f>_xlfn.STDEV.S(P17:P19)</f>
        <v>0.14285714285714302</v>
      </c>
      <c r="V17" s="18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"/>
      <c r="AM17" s="18"/>
    </row>
    <row r="18" spans="3:39" x14ac:dyDescent="0.25">
      <c r="C18" s="23"/>
      <c r="D18" s="27"/>
      <c r="E18" s="27">
        <v>5.5E-2</v>
      </c>
      <c r="F18" s="27">
        <v>6.6000000000000003E-2</v>
      </c>
      <c r="G18" s="27">
        <f t="shared" si="9"/>
        <v>64</v>
      </c>
      <c r="H18" s="27">
        <f t="shared" si="9"/>
        <v>79.714285714285722</v>
      </c>
      <c r="I18" s="27">
        <f t="shared" si="10"/>
        <v>57.333333333333336</v>
      </c>
      <c r="J18" s="27">
        <f t="shared" si="10"/>
        <v>46.857142857142854</v>
      </c>
      <c r="K18" s="27"/>
      <c r="L18" s="27"/>
      <c r="M18" s="27"/>
      <c r="N18" s="27"/>
      <c r="O18" s="27">
        <f t="shared" si="11"/>
        <v>4.3</v>
      </c>
      <c r="P18" s="27">
        <f t="shared" si="11"/>
        <v>3.5142857142857142</v>
      </c>
      <c r="Q18" s="45"/>
      <c r="R18" s="45"/>
      <c r="S18" s="45"/>
      <c r="T18" s="45"/>
      <c r="V18" s="18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18"/>
      <c r="AK18" s="18"/>
      <c r="AL18" s="18"/>
      <c r="AM18" s="18"/>
    </row>
    <row r="19" spans="3:39" x14ac:dyDescent="0.25">
      <c r="C19" s="23"/>
      <c r="D19" s="27"/>
      <c r="E19" s="27">
        <v>5.5E-2</v>
      </c>
      <c r="F19" s="27">
        <v>6.4000000000000001E-2</v>
      </c>
      <c r="G19" s="27">
        <f t="shared" si="9"/>
        <v>64</v>
      </c>
      <c r="H19" s="27">
        <f t="shared" si="9"/>
        <v>76.857142857142861</v>
      </c>
      <c r="I19" s="27">
        <f t="shared" si="10"/>
        <v>57.333333333333336</v>
      </c>
      <c r="J19" s="27">
        <f t="shared" si="10"/>
        <v>48.761904761904759</v>
      </c>
      <c r="K19" s="27"/>
      <c r="L19" s="27"/>
      <c r="M19" s="27"/>
      <c r="N19" s="27"/>
      <c r="O19" s="27">
        <f t="shared" si="11"/>
        <v>4.3</v>
      </c>
      <c r="P19" s="27">
        <f t="shared" si="11"/>
        <v>3.657142857142857</v>
      </c>
      <c r="Q19" s="45"/>
      <c r="R19" s="45"/>
      <c r="S19" s="45"/>
      <c r="T19" s="45"/>
      <c r="V19" s="18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18"/>
      <c r="AK19" s="18"/>
      <c r="AL19" s="18"/>
      <c r="AM19" s="18"/>
    </row>
    <row r="20" spans="3:39" x14ac:dyDescent="0.25">
      <c r="C20" s="23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6"/>
      <c r="Q20" s="45"/>
      <c r="R20" s="45"/>
      <c r="S20" s="45"/>
      <c r="T20" s="45"/>
      <c r="V20" s="18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18"/>
      <c r="AJ20" s="18"/>
      <c r="AK20" s="18"/>
      <c r="AL20" s="18"/>
      <c r="AM20" s="18"/>
    </row>
    <row r="21" spans="3:39" x14ac:dyDescent="0.25">
      <c r="C21" s="23"/>
      <c r="D21" s="27">
        <v>40</v>
      </c>
      <c r="E21" s="27">
        <v>4.5999999999999999E-2</v>
      </c>
      <c r="F21" s="27">
        <v>5.7000000000000002E-2</v>
      </c>
      <c r="G21" s="27">
        <f t="shared" ref="G21:H23" si="12">(E21-0.0102)/0.0007</f>
        <v>51.142857142857139</v>
      </c>
      <c r="H21" s="27">
        <f t="shared" si="12"/>
        <v>66.857142857142861</v>
      </c>
      <c r="I21" s="27">
        <f t="shared" ref="I21:J23" si="13">((150-G21)/150)*100</f>
        <v>65.904761904761912</v>
      </c>
      <c r="J21" s="27">
        <f t="shared" si="13"/>
        <v>55.428571428571431</v>
      </c>
      <c r="K21" s="27">
        <f>AVERAGE(I21:I23)</f>
        <v>66.222222222222229</v>
      </c>
      <c r="L21" s="27">
        <f>AVERAGE(J21:J23)</f>
        <v>58.603174603174608</v>
      </c>
      <c r="M21" s="27">
        <f>_xlfn.STDEV.S(I21:I23)</f>
        <v>1.4547859349066248</v>
      </c>
      <c r="N21" s="27">
        <f>_xlfn.STDEV.S(J21:J23)</f>
        <v>2.9095718698132327</v>
      </c>
      <c r="O21" s="27">
        <f t="shared" ref="O21:P23" si="14">((150-G21)/1)*0.05</f>
        <v>4.9428571428571431</v>
      </c>
      <c r="P21" s="27">
        <f t="shared" si="14"/>
        <v>4.1571428571428575</v>
      </c>
      <c r="Q21" s="44">
        <f>AVERAGE(O21:O23)</f>
        <v>4.9666666666666668</v>
      </c>
      <c r="R21" s="44">
        <f>AVERAGE(P21:P23)</f>
        <v>4.3952380952380956</v>
      </c>
      <c r="S21" s="45">
        <f>_xlfn.STDEV.S(O21:O23)</f>
        <v>0.10910894511799628</v>
      </c>
      <c r="T21" s="45">
        <f>_xlfn.STDEV.S(P21:P23)</f>
        <v>0.21821789023599247</v>
      </c>
      <c r="V21" s="18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"/>
      <c r="AM21" s="18"/>
    </row>
    <row r="22" spans="3:39" x14ac:dyDescent="0.25">
      <c r="C22" s="23"/>
      <c r="D22" s="27"/>
      <c r="E22" s="27">
        <v>4.3999999999999997E-2</v>
      </c>
      <c r="F22" s="27">
        <v>5.2999999999999999E-2</v>
      </c>
      <c r="G22" s="27">
        <f t="shared" si="12"/>
        <v>48.285714285714285</v>
      </c>
      <c r="H22" s="27">
        <f t="shared" si="12"/>
        <v>61.142857142857139</v>
      </c>
      <c r="I22" s="27">
        <f t="shared" si="13"/>
        <v>67.809523809523824</v>
      </c>
      <c r="J22" s="27">
        <f t="shared" si="13"/>
        <v>59.238095238095248</v>
      </c>
      <c r="K22" s="27"/>
      <c r="L22" s="27"/>
      <c r="M22" s="27"/>
      <c r="N22" s="27"/>
      <c r="O22" s="27">
        <f t="shared" si="14"/>
        <v>5.0857142857142863</v>
      </c>
      <c r="P22" s="27">
        <f t="shared" si="14"/>
        <v>4.4428571428571431</v>
      </c>
      <c r="Q22" s="45"/>
      <c r="R22" s="45"/>
      <c r="S22" s="45"/>
      <c r="T22" s="45"/>
      <c r="V22" s="18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18"/>
      <c r="AK22" s="18"/>
      <c r="AL22" s="18"/>
      <c r="AM22" s="18"/>
    </row>
    <row r="23" spans="3:39" x14ac:dyDescent="0.25">
      <c r="C23" s="23"/>
      <c r="D23" s="27"/>
      <c r="E23" s="27">
        <v>4.7E-2</v>
      </c>
      <c r="F23" s="27">
        <v>5.0999999999999997E-2</v>
      </c>
      <c r="G23" s="27">
        <f t="shared" si="12"/>
        <v>52.571428571428569</v>
      </c>
      <c r="H23" s="27">
        <f t="shared" si="12"/>
        <v>58.285714285714278</v>
      </c>
      <c r="I23" s="27">
        <f t="shared" si="13"/>
        <v>64.952380952380949</v>
      </c>
      <c r="J23" s="27">
        <f t="shared" si="13"/>
        <v>61.142857142857146</v>
      </c>
      <c r="K23" s="27"/>
      <c r="L23" s="27"/>
      <c r="M23" s="27"/>
      <c r="N23" s="27"/>
      <c r="O23" s="27">
        <f t="shared" si="14"/>
        <v>4.8714285714285719</v>
      </c>
      <c r="P23" s="27">
        <f t="shared" si="14"/>
        <v>4.5857142857142863</v>
      </c>
      <c r="Q23" s="45"/>
      <c r="R23" s="45"/>
      <c r="S23" s="45"/>
      <c r="T23" s="45"/>
      <c r="V23" s="18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18"/>
      <c r="AK23" s="18"/>
      <c r="AL23" s="18"/>
      <c r="AM23" s="18"/>
    </row>
    <row r="24" spans="3:39" x14ac:dyDescent="0.25">
      <c r="C24" s="23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14"/>
      <c r="P24" s="26"/>
      <c r="Q24" s="45"/>
      <c r="R24" s="45"/>
      <c r="S24" s="45"/>
      <c r="T24" s="45"/>
      <c r="V24" s="18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18"/>
      <c r="AI24" s="18"/>
      <c r="AJ24" s="18"/>
      <c r="AK24" s="18"/>
      <c r="AL24" s="18"/>
      <c r="AM24" s="18"/>
    </row>
    <row r="25" spans="3:39" x14ac:dyDescent="0.25">
      <c r="C25" s="24"/>
      <c r="D25" s="27">
        <v>60</v>
      </c>
      <c r="E25" s="27">
        <v>4.2000000000000003E-2</v>
      </c>
      <c r="F25" s="27">
        <v>4.9000000000000002E-2</v>
      </c>
      <c r="G25" s="27">
        <f t="shared" ref="G25:H27" si="15">(E25-0.0102)/0.0007</f>
        <v>45.428571428571431</v>
      </c>
      <c r="H25" s="27">
        <f t="shared" si="15"/>
        <v>55.428571428571431</v>
      </c>
      <c r="I25" s="27">
        <f t="shared" ref="I25:J27" si="16">((150-G25)/150)*100</f>
        <v>69.714285714285722</v>
      </c>
      <c r="J25" s="27">
        <f t="shared" si="16"/>
        <v>63.047619047619044</v>
      </c>
      <c r="K25" s="27">
        <f>AVERAGE(I25:I27)</f>
        <v>68.444444444444443</v>
      </c>
      <c r="L25" s="27">
        <f>AVERAGE(J25:J27)</f>
        <v>63.682539682539677</v>
      </c>
      <c r="M25" s="27">
        <f>_xlfn.STDEV.S(I25:I27)</f>
        <v>1.454785934906617</v>
      </c>
      <c r="N25" s="27">
        <f>_xlfn.STDEV.S(J25:J27)</f>
        <v>0.54985739922821719</v>
      </c>
      <c r="O25" s="27">
        <f t="shared" ref="O25:P27" si="17">((150-G25)/1)*0.05</f>
        <v>5.2285714285714286</v>
      </c>
      <c r="P25" s="27">
        <f t="shared" si="17"/>
        <v>4.7285714285714286</v>
      </c>
      <c r="Q25" s="44">
        <f>AVERAGE(O25:O27)</f>
        <v>5.1333333333333337</v>
      </c>
      <c r="R25" s="44">
        <f>AVERAGE(P25:P27)</f>
        <v>4.7761904761904761</v>
      </c>
      <c r="S25" s="45">
        <f>_xlfn.STDEV.S(O25:O27)</f>
        <v>0.10910894511799581</v>
      </c>
      <c r="T25" s="45">
        <f>_xlfn.STDEV.S(P25:P27)</f>
        <v>4.1239304942116493E-2</v>
      </c>
      <c r="V25" s="20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"/>
      <c r="AM25" s="18"/>
    </row>
    <row r="26" spans="3:39" x14ac:dyDescent="0.25">
      <c r="C26" s="23"/>
      <c r="D26" s="27"/>
      <c r="E26" s="27">
        <v>4.4999999999999998E-2</v>
      </c>
      <c r="F26" s="27">
        <v>4.8000000000000001E-2</v>
      </c>
      <c r="G26" s="27">
        <f t="shared" si="15"/>
        <v>49.714285714285708</v>
      </c>
      <c r="H26" s="27">
        <f t="shared" si="15"/>
        <v>54</v>
      </c>
      <c r="I26" s="27">
        <f t="shared" si="16"/>
        <v>66.857142857142861</v>
      </c>
      <c r="J26" s="27">
        <f t="shared" si="16"/>
        <v>64</v>
      </c>
      <c r="K26" s="27"/>
      <c r="L26" s="27"/>
      <c r="M26" s="27"/>
      <c r="N26" s="27"/>
      <c r="O26" s="27">
        <f t="shared" si="17"/>
        <v>5.0142857142857151</v>
      </c>
      <c r="P26" s="27">
        <f t="shared" si="17"/>
        <v>4.8000000000000007</v>
      </c>
      <c r="Q26" s="45"/>
      <c r="R26" s="45"/>
      <c r="S26" s="45"/>
      <c r="T26" s="45"/>
      <c r="V26" s="18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18"/>
      <c r="AK26" s="18"/>
      <c r="AL26" s="18"/>
      <c r="AM26" s="18"/>
    </row>
    <row r="27" spans="3:39" x14ac:dyDescent="0.25">
      <c r="C27" s="25"/>
      <c r="D27" s="27"/>
      <c r="E27" s="27">
        <v>4.2999999999999997E-2</v>
      </c>
      <c r="F27" s="27">
        <v>4.8000000000000001E-2</v>
      </c>
      <c r="G27" s="27">
        <f t="shared" si="15"/>
        <v>46.857142857142854</v>
      </c>
      <c r="H27" s="27">
        <f t="shared" si="15"/>
        <v>54</v>
      </c>
      <c r="I27" s="27">
        <f t="shared" si="16"/>
        <v>68.761904761904759</v>
      </c>
      <c r="J27" s="27">
        <f t="shared" si="16"/>
        <v>64</v>
      </c>
      <c r="K27" s="27"/>
      <c r="L27" s="27"/>
      <c r="M27" s="27"/>
      <c r="N27" s="27"/>
      <c r="O27" s="27">
        <f t="shared" si="17"/>
        <v>5.1571428571428575</v>
      </c>
      <c r="P27" s="27">
        <f t="shared" si="17"/>
        <v>4.8000000000000007</v>
      </c>
      <c r="Q27" s="45"/>
      <c r="R27" s="45"/>
      <c r="S27" s="45"/>
      <c r="T27" s="45"/>
      <c r="V27" s="18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18"/>
      <c r="AK27" s="18"/>
      <c r="AL27" s="18"/>
      <c r="AM27" s="18"/>
    </row>
    <row r="28" spans="3:39" x14ac:dyDescent="0.25">
      <c r="C28" s="1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19"/>
      <c r="P28" s="18"/>
      <c r="Q28" s="18"/>
      <c r="R28" s="18"/>
      <c r="S28" s="18"/>
      <c r="T28" s="18"/>
      <c r="V28" s="18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19"/>
      <c r="AI28" s="18"/>
      <c r="AJ28" s="18"/>
      <c r="AK28" s="18"/>
      <c r="AL28" s="18"/>
      <c r="AM28" s="18"/>
    </row>
    <row r="29" spans="3:39" x14ac:dyDescent="0.25"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18"/>
      <c r="T29" s="18"/>
      <c r="V29" s="20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"/>
      <c r="AM29" s="18"/>
    </row>
    <row r="30" spans="3:39" x14ac:dyDescent="0.25">
      <c r="C30" s="72"/>
      <c r="D30" s="72"/>
      <c r="E30" s="54" t="s">
        <v>8</v>
      </c>
      <c r="F30" s="54" t="s">
        <v>7</v>
      </c>
      <c r="G30" s="54" t="s">
        <v>8</v>
      </c>
      <c r="H30" s="54" t="s">
        <v>7</v>
      </c>
      <c r="I30" s="54" t="s">
        <v>8</v>
      </c>
      <c r="J30" s="54" t="s">
        <v>7</v>
      </c>
      <c r="K30" s="54" t="s">
        <v>8</v>
      </c>
      <c r="L30" s="54" t="s">
        <v>7</v>
      </c>
      <c r="M30" s="54" t="s">
        <v>8</v>
      </c>
      <c r="N30" s="54" t="s">
        <v>7</v>
      </c>
      <c r="O30" s="54" t="s">
        <v>8</v>
      </c>
      <c r="P30" s="54" t="s">
        <v>7</v>
      </c>
      <c r="Q30" s="54" t="s">
        <v>8</v>
      </c>
      <c r="R30" s="54" t="s">
        <v>7</v>
      </c>
      <c r="S30" s="54" t="s">
        <v>8</v>
      </c>
      <c r="T30" s="54" t="s">
        <v>7</v>
      </c>
      <c r="V30" s="18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18"/>
      <c r="AK30" s="18"/>
      <c r="AL30" s="18"/>
      <c r="AM30" s="18"/>
    </row>
    <row r="31" spans="3:39" ht="18" x14ac:dyDescent="0.35">
      <c r="C31" s="96" t="s">
        <v>0</v>
      </c>
      <c r="D31" s="54" t="s">
        <v>12</v>
      </c>
      <c r="E31" s="54" t="s">
        <v>2</v>
      </c>
      <c r="F31" s="54" t="s">
        <v>2</v>
      </c>
      <c r="G31" s="54" t="s">
        <v>3</v>
      </c>
      <c r="H31" s="54" t="s">
        <v>3</v>
      </c>
      <c r="I31" s="54" t="s">
        <v>4</v>
      </c>
      <c r="J31" s="54" t="s">
        <v>4</v>
      </c>
      <c r="K31" s="54" t="s">
        <v>10</v>
      </c>
      <c r="L31" s="54" t="s">
        <v>10</v>
      </c>
      <c r="M31" s="54" t="s">
        <v>9</v>
      </c>
      <c r="N31" s="54" t="s">
        <v>9</v>
      </c>
      <c r="O31" s="54" t="s">
        <v>13</v>
      </c>
      <c r="P31" s="54" t="s">
        <v>13</v>
      </c>
      <c r="Q31" s="54" t="s">
        <v>25</v>
      </c>
      <c r="R31" s="54" t="s">
        <v>25</v>
      </c>
      <c r="S31" s="54" t="s">
        <v>9</v>
      </c>
      <c r="T31" s="54" t="s">
        <v>9</v>
      </c>
      <c r="V31" s="18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18"/>
      <c r="AK31" s="18"/>
      <c r="AL31" s="18"/>
      <c r="AM31" s="18"/>
    </row>
    <row r="32" spans="3:39" x14ac:dyDescent="0.25">
      <c r="C32" s="75" t="s">
        <v>6</v>
      </c>
      <c r="D32" s="55">
        <v>5</v>
      </c>
      <c r="E32" s="55">
        <v>6.4000000000000001E-2</v>
      </c>
      <c r="F32" s="55">
        <v>6.7000000000000004E-2</v>
      </c>
      <c r="G32" s="55">
        <f t="shared" ref="G32:G34" si="18">(E32-0.0102)/0.0007</f>
        <v>76.857142857142861</v>
      </c>
      <c r="H32" s="55">
        <f t="shared" ref="H32:H34" si="19">(F32-0.0102)/0.0007</f>
        <v>81.142857142857153</v>
      </c>
      <c r="I32" s="55">
        <f t="shared" ref="I32:I34" si="20">((150-G32)/150)*100</f>
        <v>48.761904761904759</v>
      </c>
      <c r="J32" s="55">
        <f t="shared" ref="J32:J34" si="21">((150-H32)/150)*100</f>
        <v>45.904761904761898</v>
      </c>
      <c r="K32" s="55">
        <f>AVERAGE(I32:I34)</f>
        <v>47.809523809523817</v>
      </c>
      <c r="L32" s="55">
        <f>AVERAGE(J32:J34)</f>
        <v>44.634920634920626</v>
      </c>
      <c r="M32" s="55">
        <f>_xlfn.STDEV.S(I32:I34)</f>
        <v>0.95238095238095255</v>
      </c>
      <c r="N32" s="55">
        <f>_xlfn.STDEV.S(J32:J34)</f>
        <v>1.0997147984564344</v>
      </c>
      <c r="O32" s="55">
        <f t="shared" ref="O32:O34" si="22">((150-G32)/1)*0.05</f>
        <v>3.657142857142857</v>
      </c>
      <c r="P32" s="55">
        <f t="shared" ref="P32:P34" si="23">((150-H32)/1)*0.05</f>
        <v>3.4428571428571426</v>
      </c>
      <c r="Q32" s="55">
        <f>AVERAGE(O32:O34)</f>
        <v>3.5857142857142854</v>
      </c>
      <c r="R32" s="55">
        <f>AVERAGE(P32:P34)</f>
        <v>3.3476190476190468</v>
      </c>
      <c r="S32" s="72">
        <f>_xlfn.STDEV.S(O32:O34)</f>
        <v>7.1428571428571397E-2</v>
      </c>
      <c r="T32" s="72">
        <f>_xlfn.STDEV.S(P32:P34)</f>
        <v>8.2478609884232473E-2</v>
      </c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</row>
    <row r="33" spans="3:39" x14ac:dyDescent="0.25">
      <c r="C33" s="75" t="s">
        <v>86</v>
      </c>
      <c r="D33" s="55"/>
      <c r="E33" s="55">
        <v>6.6000000000000003E-2</v>
      </c>
      <c r="F33" s="55">
        <v>6.9000000000000006E-2</v>
      </c>
      <c r="G33" s="55">
        <f t="shared" si="18"/>
        <v>79.714285714285722</v>
      </c>
      <c r="H33" s="55">
        <f t="shared" si="19"/>
        <v>84.000000000000014</v>
      </c>
      <c r="I33" s="55">
        <f t="shared" si="20"/>
        <v>46.857142857142854</v>
      </c>
      <c r="J33" s="55">
        <f t="shared" si="21"/>
        <v>43.999999999999986</v>
      </c>
      <c r="K33" s="55"/>
      <c r="L33" s="55"/>
      <c r="M33" s="55"/>
      <c r="N33" s="55"/>
      <c r="O33" s="55">
        <f t="shared" si="22"/>
        <v>3.5142857142857142</v>
      </c>
      <c r="P33" s="55">
        <f t="shared" si="23"/>
        <v>3.2999999999999994</v>
      </c>
      <c r="Q33" s="55"/>
      <c r="R33" s="55"/>
      <c r="S33" s="55"/>
      <c r="T33" s="72"/>
      <c r="V33" s="20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"/>
      <c r="AM33" s="18"/>
    </row>
    <row r="34" spans="3:39" x14ac:dyDescent="0.25">
      <c r="C34" s="75"/>
      <c r="D34" s="55"/>
      <c r="E34" s="55">
        <v>6.5000000000000002E-2</v>
      </c>
      <c r="F34" s="55">
        <v>6.9000000000000006E-2</v>
      </c>
      <c r="G34" s="55">
        <f t="shared" si="18"/>
        <v>78.285714285714292</v>
      </c>
      <c r="H34" s="55">
        <f t="shared" si="19"/>
        <v>84.000000000000014</v>
      </c>
      <c r="I34" s="55">
        <f t="shared" si="20"/>
        <v>47.80952380952381</v>
      </c>
      <c r="J34" s="55">
        <f t="shared" si="21"/>
        <v>43.999999999999986</v>
      </c>
      <c r="K34" s="55"/>
      <c r="L34" s="55"/>
      <c r="M34" s="55"/>
      <c r="N34" s="55"/>
      <c r="O34" s="55">
        <f t="shared" si="22"/>
        <v>3.5857142857142854</v>
      </c>
      <c r="P34" s="55">
        <f t="shared" si="23"/>
        <v>3.2999999999999994</v>
      </c>
      <c r="Q34" s="55"/>
      <c r="R34" s="55"/>
      <c r="S34" s="55"/>
      <c r="T34" s="72"/>
      <c r="V34" s="18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18"/>
      <c r="AK34" s="18"/>
      <c r="AL34" s="18"/>
      <c r="AM34" s="18"/>
    </row>
    <row r="35" spans="3:39" x14ac:dyDescent="0.25">
      <c r="C35" s="7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72"/>
      <c r="Q35" s="72"/>
      <c r="R35" s="72"/>
      <c r="S35" s="55"/>
      <c r="T35" s="72"/>
      <c r="V35" s="18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18"/>
      <c r="AK35" s="18"/>
      <c r="AL35" s="18"/>
      <c r="AM35" s="18"/>
    </row>
    <row r="36" spans="3:39" x14ac:dyDescent="0.25">
      <c r="C36" s="75"/>
      <c r="D36" s="55">
        <v>10</v>
      </c>
      <c r="E36" s="55">
        <v>5.8000000000000003E-2</v>
      </c>
      <c r="F36" s="55">
        <v>6.5000000000000002E-2</v>
      </c>
      <c r="G36" s="55">
        <f t="shared" ref="G36:G38" si="24">(E36-0.0102)/0.0007</f>
        <v>68.285714285714292</v>
      </c>
      <c r="H36" s="55">
        <f t="shared" ref="H36:H38" si="25">(F36-0.0102)/0.0007</f>
        <v>78.285714285714292</v>
      </c>
      <c r="I36" s="55">
        <f t="shared" ref="I36:I38" si="26">((150-G36)/150)*100</f>
        <v>54.476190476190467</v>
      </c>
      <c r="J36" s="55">
        <f t="shared" ref="J36:J38" si="27">((150-H36)/150)*100</f>
        <v>47.80952380952381</v>
      </c>
      <c r="K36" s="55">
        <f>AVERAGE(I36:I38)</f>
        <v>54.476190476190482</v>
      </c>
      <c r="L36" s="55">
        <f>AVERAGE(J36:J38)</f>
        <v>49.396825396825399</v>
      </c>
      <c r="M36" s="55">
        <f>_xlfn.STDEV.S(I36:I38)</f>
        <v>0.952380952380949</v>
      </c>
      <c r="N36" s="55">
        <f>_xlfn.STDEV.S(J36:J38)</f>
        <v>1.454785934906617</v>
      </c>
      <c r="O36" s="55">
        <f t="shared" ref="O36:O38" si="28">((150-G36)/1)*0.05</f>
        <v>4.0857142857142854</v>
      </c>
      <c r="P36" s="55">
        <f t="shared" ref="P36:P38" si="29">((150-H36)/1)*0.05</f>
        <v>3.5857142857142854</v>
      </c>
      <c r="Q36" s="55">
        <f>AVERAGE(O36:O38)</f>
        <v>4.0857142857142863</v>
      </c>
      <c r="R36" s="55">
        <f>AVERAGE(P36:P38)</f>
        <v>3.7047619047619045</v>
      </c>
      <c r="S36" s="72">
        <f>_xlfn.STDEV.S(O36:O38)</f>
        <v>7.1428571428571175E-2</v>
      </c>
      <c r="T36" s="72">
        <f>_xlfn.STDEV.S(P36:P38)</f>
        <v>0.10910894511799647</v>
      </c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3:39" x14ac:dyDescent="0.25">
      <c r="C37" s="75"/>
      <c r="D37" s="55"/>
      <c r="E37" s="55">
        <v>5.8999999999999997E-2</v>
      </c>
      <c r="F37" s="55">
        <v>6.3E-2</v>
      </c>
      <c r="G37" s="55">
        <f t="shared" si="24"/>
        <v>69.714285714285708</v>
      </c>
      <c r="H37" s="55">
        <f t="shared" si="25"/>
        <v>75.428571428571431</v>
      </c>
      <c r="I37" s="55">
        <f t="shared" si="26"/>
        <v>53.523809523809533</v>
      </c>
      <c r="J37" s="55">
        <f t="shared" si="27"/>
        <v>49.714285714285708</v>
      </c>
      <c r="K37" s="55"/>
      <c r="L37" s="55"/>
      <c r="M37" s="55"/>
      <c r="N37" s="55"/>
      <c r="O37" s="55">
        <f t="shared" si="28"/>
        <v>4.0142857142857151</v>
      </c>
      <c r="P37" s="55">
        <f t="shared" si="29"/>
        <v>3.7285714285714286</v>
      </c>
      <c r="Q37" s="55"/>
      <c r="R37" s="55"/>
      <c r="S37" s="55"/>
      <c r="T37" s="72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3:39" x14ac:dyDescent="0.25">
      <c r="C38" s="75"/>
      <c r="D38" s="55"/>
      <c r="E38" s="55">
        <v>5.7000000000000002E-2</v>
      </c>
      <c r="F38" s="55">
        <v>6.2E-2</v>
      </c>
      <c r="G38" s="55">
        <f t="shared" si="24"/>
        <v>66.857142857142861</v>
      </c>
      <c r="H38" s="55">
        <f t="shared" si="25"/>
        <v>74</v>
      </c>
      <c r="I38" s="55">
        <f t="shared" si="26"/>
        <v>55.428571428571431</v>
      </c>
      <c r="J38" s="55">
        <f t="shared" si="27"/>
        <v>50.666666666666671</v>
      </c>
      <c r="K38" s="55"/>
      <c r="L38" s="55"/>
      <c r="M38" s="55"/>
      <c r="N38" s="55"/>
      <c r="O38" s="55">
        <f t="shared" si="28"/>
        <v>4.1571428571428575</v>
      </c>
      <c r="P38" s="55">
        <f t="shared" si="29"/>
        <v>3.8000000000000003</v>
      </c>
      <c r="Q38" s="55"/>
      <c r="R38" s="55"/>
      <c r="S38" s="55"/>
      <c r="T38" s="72"/>
      <c r="V38" s="18"/>
      <c r="W38" s="18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</row>
    <row r="39" spans="3:39" x14ac:dyDescent="0.25">
      <c r="C39" s="7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72"/>
      <c r="Q39" s="72"/>
      <c r="R39" s="72"/>
      <c r="S39" s="55"/>
      <c r="T39" s="72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</row>
    <row r="40" spans="3:39" x14ac:dyDescent="0.25">
      <c r="C40" s="75"/>
      <c r="D40" s="55">
        <v>15</v>
      </c>
      <c r="E40" s="55">
        <v>5.0999999999999997E-2</v>
      </c>
      <c r="F40" s="55">
        <v>5.7000000000000002E-2</v>
      </c>
      <c r="G40" s="55">
        <f t="shared" ref="G40:G42" si="30">(E40-0.0102)/0.0007</f>
        <v>58.285714285714278</v>
      </c>
      <c r="H40" s="55">
        <f t="shared" ref="H40:H42" si="31">(F40-0.0102)/0.0007</f>
        <v>66.857142857142861</v>
      </c>
      <c r="I40" s="55">
        <f t="shared" ref="I40:I42" si="32">((150-G40)/150)*100</f>
        <v>61.142857142857146</v>
      </c>
      <c r="J40" s="55">
        <f t="shared" ref="J40:J42" si="33">((150-H40)/150)*100</f>
        <v>55.428571428571431</v>
      </c>
      <c r="K40" s="55">
        <f>AVERAGE(I40:I42)</f>
        <v>59.873015873015881</v>
      </c>
      <c r="L40" s="55">
        <f>AVERAGE(J40:J42)</f>
        <v>56.06349206349207</v>
      </c>
      <c r="M40" s="55">
        <f>_xlfn.STDEV.S(I40:I42)</f>
        <v>1.0997147984564262</v>
      </c>
      <c r="N40" s="55">
        <f>_xlfn.STDEV.S(J40:J42)</f>
        <v>0.54985739922821308</v>
      </c>
      <c r="O40" s="55">
        <f t="shared" ref="O40:O42" si="34">((150-G40)/1)*0.05</f>
        <v>4.5857142857142863</v>
      </c>
      <c r="P40" s="55">
        <f t="shared" ref="P40:P42" si="35">((150-H40)/1)*0.05</f>
        <v>4.1571428571428575</v>
      </c>
      <c r="Q40" s="55">
        <f>AVERAGE(O40:O42)</f>
        <v>4.4904761904761905</v>
      </c>
      <c r="R40" s="55">
        <f>AVERAGE(P40:P42)</f>
        <v>4.2047619047619049</v>
      </c>
      <c r="S40" s="72">
        <f>_xlfn.STDEV.S(O40:O42)</f>
        <v>8.2478609884232473E-2</v>
      </c>
      <c r="T40" s="72">
        <f>_xlfn.STDEV.S(P40:P42)</f>
        <v>4.123930494211598E-2</v>
      </c>
      <c r="V40" s="18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"/>
      <c r="AM40" s="18"/>
    </row>
    <row r="41" spans="3:39" x14ac:dyDescent="0.25">
      <c r="C41" s="75"/>
      <c r="D41" s="55"/>
      <c r="E41" s="55">
        <v>5.2999999999999999E-2</v>
      </c>
      <c r="F41" s="55">
        <v>5.6000000000000001E-2</v>
      </c>
      <c r="G41" s="55">
        <f t="shared" si="30"/>
        <v>61.142857142857139</v>
      </c>
      <c r="H41" s="55">
        <f t="shared" si="31"/>
        <v>65.428571428571431</v>
      </c>
      <c r="I41" s="55">
        <f t="shared" si="32"/>
        <v>59.238095238095248</v>
      </c>
      <c r="J41" s="55">
        <f t="shared" si="33"/>
        <v>56.38095238095238</v>
      </c>
      <c r="K41" s="55"/>
      <c r="L41" s="55"/>
      <c r="M41" s="55"/>
      <c r="N41" s="55"/>
      <c r="O41" s="55">
        <f t="shared" si="34"/>
        <v>4.4428571428571431</v>
      </c>
      <c r="P41" s="55">
        <f t="shared" si="35"/>
        <v>4.2285714285714286</v>
      </c>
      <c r="Q41" s="55"/>
      <c r="R41" s="55"/>
      <c r="S41" s="55"/>
      <c r="T41" s="72"/>
      <c r="V41" s="18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18"/>
    </row>
    <row r="42" spans="3:39" x14ac:dyDescent="0.25">
      <c r="C42" s="75"/>
      <c r="D42" s="55"/>
      <c r="E42" s="55">
        <v>5.2999999999999999E-2</v>
      </c>
      <c r="F42" s="55">
        <v>5.6000000000000001E-2</v>
      </c>
      <c r="G42" s="55">
        <f t="shared" si="30"/>
        <v>61.142857142857139</v>
      </c>
      <c r="H42" s="55">
        <f t="shared" si="31"/>
        <v>65.428571428571431</v>
      </c>
      <c r="I42" s="55">
        <f t="shared" si="32"/>
        <v>59.238095238095248</v>
      </c>
      <c r="J42" s="55">
        <f t="shared" si="33"/>
        <v>56.38095238095238</v>
      </c>
      <c r="K42" s="55"/>
      <c r="L42" s="55"/>
      <c r="M42" s="55"/>
      <c r="N42" s="55"/>
      <c r="O42" s="55">
        <f t="shared" si="34"/>
        <v>4.4428571428571431</v>
      </c>
      <c r="P42" s="55">
        <f t="shared" si="35"/>
        <v>4.2285714285714286</v>
      </c>
      <c r="Q42" s="55"/>
      <c r="R42" s="55"/>
      <c r="S42" s="55"/>
      <c r="T42" s="72"/>
      <c r="V42" s="18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18"/>
    </row>
    <row r="43" spans="3:39" x14ac:dyDescent="0.25">
      <c r="C43" s="7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72"/>
      <c r="Q43" s="72"/>
      <c r="R43" s="72"/>
      <c r="S43" s="72"/>
      <c r="T43" s="72"/>
      <c r="V43" s="18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18"/>
      <c r="AJ43" s="18"/>
      <c r="AK43" s="18"/>
      <c r="AL43" s="21"/>
      <c r="AM43" s="18"/>
    </row>
    <row r="44" spans="3:39" x14ac:dyDescent="0.25">
      <c r="C44" s="75"/>
      <c r="D44" s="55">
        <v>20</v>
      </c>
      <c r="E44" s="55">
        <v>4.4999999999999998E-2</v>
      </c>
      <c r="F44" s="55">
        <v>4.9000000000000002E-2</v>
      </c>
      <c r="G44" s="55">
        <f t="shared" ref="G44:G46" si="36">(E44-0.0102)/0.0007</f>
        <v>49.714285714285708</v>
      </c>
      <c r="H44" s="55">
        <f t="shared" ref="H44:H46" si="37">(F44-0.0102)/0.0007</f>
        <v>55.428571428571431</v>
      </c>
      <c r="I44" s="55">
        <f t="shared" ref="I44:I46" si="38">((150-G44)/150)*100</f>
        <v>66.857142857142861</v>
      </c>
      <c r="J44" s="55">
        <f t="shared" ref="J44:J46" si="39">((150-H44)/150)*100</f>
        <v>63.047619047619044</v>
      </c>
      <c r="K44" s="55">
        <f>AVERAGE(I44:I46)</f>
        <v>65.904761904761912</v>
      </c>
      <c r="L44" s="55">
        <f>AVERAGE(J44:J46)</f>
        <v>63.36507936507936</v>
      </c>
      <c r="M44" s="55">
        <f>_xlfn.STDEV.S(I44:I46)</f>
        <v>0.9523809523809561</v>
      </c>
      <c r="N44" s="55">
        <f>_xlfn.STDEV.S(J44:J46)</f>
        <v>0.54985739922821719</v>
      </c>
      <c r="O44" s="55">
        <f t="shared" ref="O44:O46" si="40">((150-G44)/1)*0.05</f>
        <v>5.0142857142857151</v>
      </c>
      <c r="P44" s="55">
        <f t="shared" ref="P44:P46" si="41">((150-H44)/1)*0.05</f>
        <v>4.7285714285714286</v>
      </c>
      <c r="Q44" s="55">
        <f>AVERAGE(O44:O46)</f>
        <v>4.9428571428571439</v>
      </c>
      <c r="R44" s="55">
        <f>AVERAGE(P44:P46)</f>
        <v>4.7523809523809524</v>
      </c>
      <c r="S44" s="72">
        <f>_xlfn.STDEV.S(O44:O46)</f>
        <v>7.1428571428571619E-2</v>
      </c>
      <c r="T44" s="72">
        <f>_xlfn.STDEV.S(P44:P46)</f>
        <v>4.1239304942116493E-2</v>
      </c>
      <c r="V44" s="18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"/>
      <c r="AM44" s="18"/>
    </row>
    <row r="45" spans="3:39" x14ac:dyDescent="0.25">
      <c r="C45" s="75"/>
      <c r="D45" s="55"/>
      <c r="E45" s="55">
        <v>4.5999999999999999E-2</v>
      </c>
      <c r="F45" s="55">
        <v>4.9000000000000002E-2</v>
      </c>
      <c r="G45" s="55">
        <f t="shared" si="36"/>
        <v>51.142857142857139</v>
      </c>
      <c r="H45" s="55">
        <f t="shared" si="37"/>
        <v>55.428571428571431</v>
      </c>
      <c r="I45" s="55">
        <f t="shared" si="38"/>
        <v>65.904761904761912</v>
      </c>
      <c r="J45" s="55">
        <f t="shared" si="39"/>
        <v>63.047619047619044</v>
      </c>
      <c r="K45" s="55"/>
      <c r="L45" s="55"/>
      <c r="M45" s="55"/>
      <c r="N45" s="55"/>
      <c r="O45" s="55">
        <f t="shared" si="40"/>
        <v>4.9428571428571431</v>
      </c>
      <c r="P45" s="55">
        <f t="shared" si="41"/>
        <v>4.7285714285714286</v>
      </c>
      <c r="Q45" s="72"/>
      <c r="R45" s="72"/>
      <c r="S45" s="72"/>
      <c r="T45" s="72"/>
      <c r="V45" s="18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18"/>
    </row>
    <row r="46" spans="3:39" x14ac:dyDescent="0.25">
      <c r="C46" s="75"/>
      <c r="D46" s="55"/>
      <c r="E46" s="55">
        <v>4.7E-2</v>
      </c>
      <c r="F46" s="55">
        <v>4.8000000000000001E-2</v>
      </c>
      <c r="G46" s="55">
        <f t="shared" si="36"/>
        <v>52.571428571428569</v>
      </c>
      <c r="H46" s="55">
        <f t="shared" si="37"/>
        <v>54</v>
      </c>
      <c r="I46" s="55">
        <f t="shared" si="38"/>
        <v>64.952380952380949</v>
      </c>
      <c r="J46" s="55">
        <f t="shared" si="39"/>
        <v>64</v>
      </c>
      <c r="K46" s="55"/>
      <c r="L46" s="55"/>
      <c r="M46" s="55"/>
      <c r="N46" s="55"/>
      <c r="O46" s="55">
        <f t="shared" si="40"/>
        <v>4.8714285714285719</v>
      </c>
      <c r="P46" s="55">
        <f t="shared" si="41"/>
        <v>4.8000000000000007</v>
      </c>
      <c r="Q46" s="72"/>
      <c r="R46" s="72"/>
      <c r="S46" s="72"/>
      <c r="T46" s="72"/>
      <c r="V46" s="18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18"/>
    </row>
    <row r="47" spans="3:39" x14ac:dyDescent="0.25">
      <c r="C47" s="7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72"/>
      <c r="Q47" s="72"/>
      <c r="R47" s="72"/>
      <c r="S47" s="72"/>
      <c r="T47" s="72"/>
      <c r="V47" s="18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18"/>
      <c r="AJ47" s="18"/>
      <c r="AK47" s="18"/>
      <c r="AL47" s="21"/>
      <c r="AM47" s="18"/>
    </row>
    <row r="48" spans="3:39" x14ac:dyDescent="0.25">
      <c r="C48" s="75"/>
      <c r="D48" s="55">
        <v>40</v>
      </c>
      <c r="E48" s="55">
        <v>0.04</v>
      </c>
      <c r="F48" s="55">
        <v>4.2999999999999997E-2</v>
      </c>
      <c r="G48" s="55">
        <f t="shared" ref="G48:G50" si="42">(E48-0.0102)/0.0007</f>
        <v>42.571428571428569</v>
      </c>
      <c r="H48" s="55">
        <f t="shared" ref="H48:H50" si="43">(F48-0.0102)/0.0007</f>
        <v>46.857142857142854</v>
      </c>
      <c r="I48" s="55">
        <f t="shared" ref="I48:I50" si="44">((150-G48)/150)*100</f>
        <v>71.61904761904762</v>
      </c>
      <c r="J48" s="55">
        <f t="shared" ref="J48:J50" si="45">((150-H48)/150)*100</f>
        <v>68.761904761904759</v>
      </c>
      <c r="K48" s="55">
        <f>AVERAGE(I48:I50)</f>
        <v>70.666666666666671</v>
      </c>
      <c r="L48" s="55">
        <f>AVERAGE(J48:J50)</f>
        <v>68.126984126984141</v>
      </c>
      <c r="M48" s="55">
        <f>_xlfn.STDEV.S(I48:I50)</f>
        <v>0.952380952380949</v>
      </c>
      <c r="N48" s="55">
        <f>_xlfn.STDEV.S(J48:J50)</f>
        <v>0.54985739922820487</v>
      </c>
      <c r="O48" s="55">
        <f t="shared" ref="O48:O50" si="46">((150-G48)/1)*0.05</f>
        <v>5.3714285714285719</v>
      </c>
      <c r="P48" s="55">
        <f t="shared" ref="P48:P50" si="47">((150-H48)/1)*0.05</f>
        <v>5.1571428571428575</v>
      </c>
      <c r="Q48" s="55">
        <f>AVERAGE(O48:O50)</f>
        <v>5.3000000000000007</v>
      </c>
      <c r="R48" s="55">
        <f>AVERAGE(P48:P50)</f>
        <v>5.10952380952381</v>
      </c>
      <c r="S48" s="72">
        <f>_xlfn.STDEV.S(O48:O50)</f>
        <v>7.1428571428571619E-2</v>
      </c>
      <c r="T48" s="72">
        <f>_xlfn.STDEV.S(P48:P50)</f>
        <v>4.123930494211598E-2</v>
      </c>
      <c r="V48" s="18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"/>
      <c r="AM48" s="18"/>
    </row>
    <row r="49" spans="3:39" x14ac:dyDescent="0.25">
      <c r="C49" s="75"/>
      <c r="D49" s="55"/>
      <c r="E49" s="55">
        <v>4.1000000000000002E-2</v>
      </c>
      <c r="F49" s="55">
        <v>4.3999999999999997E-2</v>
      </c>
      <c r="G49" s="55">
        <f t="shared" si="42"/>
        <v>44</v>
      </c>
      <c r="H49" s="55">
        <f t="shared" si="43"/>
        <v>48.285714285714285</v>
      </c>
      <c r="I49" s="55">
        <f t="shared" si="44"/>
        <v>70.666666666666671</v>
      </c>
      <c r="J49" s="55">
        <f t="shared" si="45"/>
        <v>67.809523809523824</v>
      </c>
      <c r="K49" s="55"/>
      <c r="L49" s="55"/>
      <c r="M49" s="55"/>
      <c r="N49" s="55"/>
      <c r="O49" s="55">
        <f t="shared" si="46"/>
        <v>5.3000000000000007</v>
      </c>
      <c r="P49" s="55">
        <f t="shared" si="47"/>
        <v>5.0857142857142863</v>
      </c>
      <c r="Q49" s="72"/>
      <c r="R49" s="72"/>
      <c r="S49" s="72"/>
      <c r="T49" s="72"/>
      <c r="V49" s="18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18"/>
    </row>
    <row r="50" spans="3:39" x14ac:dyDescent="0.25">
      <c r="C50" s="75"/>
      <c r="D50" s="55"/>
      <c r="E50" s="55">
        <v>4.2000000000000003E-2</v>
      </c>
      <c r="F50" s="55">
        <v>4.3999999999999997E-2</v>
      </c>
      <c r="G50" s="55">
        <f t="shared" si="42"/>
        <v>45.428571428571431</v>
      </c>
      <c r="H50" s="55">
        <f t="shared" si="43"/>
        <v>48.285714285714285</v>
      </c>
      <c r="I50" s="55">
        <f t="shared" si="44"/>
        <v>69.714285714285722</v>
      </c>
      <c r="J50" s="55">
        <f t="shared" si="45"/>
        <v>67.809523809523824</v>
      </c>
      <c r="K50" s="55"/>
      <c r="L50" s="55"/>
      <c r="M50" s="55"/>
      <c r="N50" s="55"/>
      <c r="O50" s="55">
        <f t="shared" si="46"/>
        <v>5.2285714285714286</v>
      </c>
      <c r="P50" s="55">
        <f t="shared" si="47"/>
        <v>5.0857142857142863</v>
      </c>
      <c r="Q50" s="72"/>
      <c r="R50" s="72"/>
      <c r="S50" s="72"/>
      <c r="T50" s="72"/>
      <c r="V50" s="18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18"/>
    </row>
    <row r="51" spans="3:39" x14ac:dyDescent="0.25">
      <c r="C51" s="7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97"/>
      <c r="P51" s="72"/>
      <c r="Q51" s="72"/>
      <c r="R51" s="72"/>
      <c r="S51" s="72"/>
      <c r="T51" s="72"/>
      <c r="V51" s="18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18"/>
      <c r="AJ51" s="18"/>
      <c r="AK51" s="18"/>
      <c r="AL51" s="18"/>
      <c r="AM51" s="18"/>
    </row>
    <row r="52" spans="3:39" x14ac:dyDescent="0.25">
      <c r="C52" s="98"/>
      <c r="D52" s="55">
        <v>60</v>
      </c>
      <c r="E52" s="55">
        <v>3.5999999999999997E-2</v>
      </c>
      <c r="F52" s="55">
        <v>4.1000000000000002E-2</v>
      </c>
      <c r="G52" s="55">
        <f t="shared" ref="G52:G54" si="48">(E52-0.0102)/0.0007</f>
        <v>36.857142857142854</v>
      </c>
      <c r="H52" s="55">
        <f t="shared" ref="H52:H54" si="49">(F52-0.0102)/0.0007</f>
        <v>44</v>
      </c>
      <c r="I52" s="55">
        <f t="shared" ref="I52:I54" si="50">((150-G52)/150)*100</f>
        <v>75.428571428571416</v>
      </c>
      <c r="J52" s="55">
        <f t="shared" ref="J52:J54" si="51">((150-H52)/150)*100</f>
        <v>70.666666666666671</v>
      </c>
      <c r="K52" s="55">
        <f>AVERAGE(I52:I54)</f>
        <v>74.158730158730165</v>
      </c>
      <c r="L52" s="55">
        <f>AVERAGE(J52:J54)</f>
        <v>70.984126984126988</v>
      </c>
      <c r="M52" s="55">
        <f>_xlfn.STDEV.S(I52:I54)</f>
        <v>1.4547859349066121</v>
      </c>
      <c r="N52" s="55">
        <f>_xlfn.STDEV.S(J52:J54)</f>
        <v>0.54985739922821308</v>
      </c>
      <c r="O52" s="55">
        <f t="shared" ref="O52:O54" si="52">((150-G52)/1)*0.05</f>
        <v>5.6571428571428575</v>
      </c>
      <c r="P52" s="55">
        <f t="shared" ref="P52:P54" si="53">((150-H52)/1)*0.05</f>
        <v>5.3000000000000007</v>
      </c>
      <c r="Q52" s="55">
        <f>AVERAGE(O52:O54)</f>
        <v>5.5619047619047626</v>
      </c>
      <c r="R52" s="55">
        <f>AVERAGE(P52:P54)</f>
        <v>5.3238095238095244</v>
      </c>
      <c r="S52" s="72">
        <f>_xlfn.STDEV.S(O52:O54)</f>
        <v>0.10910894511799628</v>
      </c>
      <c r="T52" s="72">
        <f>_xlfn.STDEV.S(P52:P54)</f>
        <v>4.123930494211598E-2</v>
      </c>
      <c r="V52" s="18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"/>
      <c r="AM52" s="18"/>
    </row>
    <row r="53" spans="3:39" x14ac:dyDescent="0.25">
      <c r="C53" s="75"/>
      <c r="D53" s="55"/>
      <c r="E53" s="55">
        <v>3.6999999999999998E-2</v>
      </c>
      <c r="F53" s="55">
        <v>4.1000000000000002E-2</v>
      </c>
      <c r="G53" s="55">
        <f t="shared" si="48"/>
        <v>38.285714285714285</v>
      </c>
      <c r="H53" s="55">
        <f t="shared" si="49"/>
        <v>44</v>
      </c>
      <c r="I53" s="55">
        <f t="shared" si="50"/>
        <v>74.476190476190482</v>
      </c>
      <c r="J53" s="55">
        <f t="shared" si="51"/>
        <v>70.666666666666671</v>
      </c>
      <c r="K53" s="55"/>
      <c r="L53" s="55"/>
      <c r="M53" s="55"/>
      <c r="N53" s="55"/>
      <c r="O53" s="55">
        <f t="shared" si="52"/>
        <v>5.5857142857142863</v>
      </c>
      <c r="P53" s="55">
        <f t="shared" si="53"/>
        <v>5.3000000000000007</v>
      </c>
      <c r="Q53" s="72"/>
      <c r="R53" s="72"/>
      <c r="S53" s="72"/>
      <c r="T53" s="72"/>
      <c r="V53" s="18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18"/>
      <c r="AK53" s="18"/>
      <c r="AL53" s="18"/>
      <c r="AM53" s="18"/>
    </row>
    <row r="54" spans="3:39" x14ac:dyDescent="0.25">
      <c r="C54" s="77"/>
      <c r="D54" s="55"/>
      <c r="E54" s="55">
        <v>3.9E-2</v>
      </c>
      <c r="F54" s="55">
        <v>0.04</v>
      </c>
      <c r="G54" s="55">
        <f t="shared" si="48"/>
        <v>41.142857142857139</v>
      </c>
      <c r="H54" s="55">
        <f t="shared" si="49"/>
        <v>42.571428571428569</v>
      </c>
      <c r="I54" s="55">
        <f t="shared" si="50"/>
        <v>72.571428571428569</v>
      </c>
      <c r="J54" s="55">
        <f t="shared" si="51"/>
        <v>71.61904761904762</v>
      </c>
      <c r="K54" s="55"/>
      <c r="L54" s="55"/>
      <c r="M54" s="55"/>
      <c r="N54" s="55"/>
      <c r="O54" s="55">
        <f t="shared" si="52"/>
        <v>5.4428571428571431</v>
      </c>
      <c r="P54" s="55">
        <f t="shared" si="53"/>
        <v>5.3714285714285719</v>
      </c>
      <c r="Q54" s="72"/>
      <c r="R54" s="72"/>
      <c r="S54" s="72"/>
      <c r="T54" s="72"/>
      <c r="V54" s="18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18"/>
      <c r="AK54" s="18"/>
      <c r="AL54" s="18"/>
      <c r="AM54" s="18"/>
    </row>
    <row r="55" spans="3:39" x14ac:dyDescent="0.25"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19"/>
      <c r="P55" s="18"/>
      <c r="Q55" s="18"/>
      <c r="R55" s="18"/>
      <c r="S55" s="18"/>
      <c r="T55" s="18"/>
      <c r="V55" s="18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18"/>
      <c r="AJ55" s="18"/>
      <c r="AK55" s="18"/>
      <c r="AL55" s="18"/>
      <c r="AM55" s="18"/>
    </row>
    <row r="56" spans="3:39" x14ac:dyDescent="0.25">
      <c r="C56" s="20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18"/>
      <c r="T56" s="18"/>
      <c r="V56" s="18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"/>
      <c r="AM56" s="18"/>
    </row>
    <row r="57" spans="3:39" x14ac:dyDescent="0.25">
      <c r="C57" s="231"/>
      <c r="D57" s="231"/>
      <c r="E57" s="232" t="s">
        <v>8</v>
      </c>
      <c r="F57" s="232" t="s">
        <v>7</v>
      </c>
      <c r="G57" s="232" t="s">
        <v>8</v>
      </c>
      <c r="H57" s="232" t="s">
        <v>7</v>
      </c>
      <c r="I57" s="232" t="s">
        <v>8</v>
      </c>
      <c r="J57" s="232" t="s">
        <v>7</v>
      </c>
      <c r="K57" s="232" t="s">
        <v>8</v>
      </c>
      <c r="L57" s="232" t="s">
        <v>7</v>
      </c>
      <c r="M57" s="232" t="s">
        <v>8</v>
      </c>
      <c r="N57" s="232" t="s">
        <v>7</v>
      </c>
      <c r="O57" s="232" t="s">
        <v>8</v>
      </c>
      <c r="P57" s="232" t="s">
        <v>7</v>
      </c>
      <c r="Q57" s="232" t="s">
        <v>8</v>
      </c>
      <c r="R57" s="232" t="s">
        <v>7</v>
      </c>
      <c r="S57" s="232" t="s">
        <v>8</v>
      </c>
      <c r="T57" s="232" t="s">
        <v>7</v>
      </c>
      <c r="V57" s="18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18"/>
      <c r="AK57" s="18"/>
      <c r="AL57" s="18"/>
      <c r="AM57" s="18"/>
    </row>
    <row r="58" spans="3:39" ht="18" x14ac:dyDescent="0.35">
      <c r="C58" s="233" t="s">
        <v>0</v>
      </c>
      <c r="D58" s="232" t="s">
        <v>12</v>
      </c>
      <c r="E58" s="232" t="s">
        <v>2</v>
      </c>
      <c r="F58" s="232" t="s">
        <v>2</v>
      </c>
      <c r="G58" s="232" t="s">
        <v>3</v>
      </c>
      <c r="H58" s="232" t="s">
        <v>3</v>
      </c>
      <c r="I58" s="232" t="s">
        <v>4</v>
      </c>
      <c r="J58" s="232" t="s">
        <v>4</v>
      </c>
      <c r="K58" s="232" t="s">
        <v>10</v>
      </c>
      <c r="L58" s="232" t="s">
        <v>10</v>
      </c>
      <c r="M58" s="232" t="s">
        <v>9</v>
      </c>
      <c r="N58" s="232" t="s">
        <v>9</v>
      </c>
      <c r="O58" s="232" t="s">
        <v>13</v>
      </c>
      <c r="P58" s="232" t="s">
        <v>13</v>
      </c>
      <c r="Q58" s="232" t="s">
        <v>25</v>
      </c>
      <c r="R58" s="232" t="s">
        <v>25</v>
      </c>
      <c r="S58" s="232" t="s">
        <v>9</v>
      </c>
      <c r="T58" s="232" t="s">
        <v>9</v>
      </c>
      <c r="V58" s="18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18"/>
      <c r="AK58" s="18"/>
      <c r="AL58" s="18"/>
      <c r="AM58" s="18"/>
    </row>
    <row r="59" spans="3:39" x14ac:dyDescent="0.25">
      <c r="C59" s="234" t="s">
        <v>6</v>
      </c>
      <c r="D59" s="235">
        <v>5</v>
      </c>
      <c r="E59" s="235">
        <v>5.5E-2</v>
      </c>
      <c r="F59" s="235">
        <v>6.2E-2</v>
      </c>
      <c r="G59" s="235">
        <f t="shared" ref="G59:G61" si="54">(E59-0.0102)/0.0007</f>
        <v>64</v>
      </c>
      <c r="H59" s="235">
        <f t="shared" ref="H59:H61" si="55">(F59-0.0102)/0.0007</f>
        <v>74</v>
      </c>
      <c r="I59" s="235">
        <f t="shared" ref="I59:I61" si="56">((150-G59)/150)*100</f>
        <v>57.333333333333336</v>
      </c>
      <c r="J59" s="235">
        <f t="shared" ref="J59:J61" si="57">((150-H59)/150)*100</f>
        <v>50.666666666666671</v>
      </c>
      <c r="K59" s="235">
        <f>AVERAGE(I59:I61)</f>
        <v>55.428571428571423</v>
      </c>
      <c r="L59" s="235">
        <f>AVERAGE(J59:J61)</f>
        <v>51.93650793650793</v>
      </c>
      <c r="M59" s="235">
        <f>_xlfn.STDEV.S(I59:I61)</f>
        <v>1.9047619047619015</v>
      </c>
      <c r="N59" s="235">
        <f>_xlfn.STDEV.S(J59:J61)</f>
        <v>1.0997147984564259</v>
      </c>
      <c r="O59" s="235">
        <f t="shared" ref="O59:O61" si="58">((150-G59)/1)*0.05</f>
        <v>4.3</v>
      </c>
      <c r="P59" s="235">
        <f t="shared" ref="P59:P61" si="59">((150-H59)/1)*0.05</f>
        <v>3.8000000000000003</v>
      </c>
      <c r="Q59" s="235">
        <f>AVERAGE(O59:O61)</f>
        <v>4.1571428571428575</v>
      </c>
      <c r="R59" s="235">
        <f>AVERAGE(P59:P61)</f>
        <v>3.8952380952380956</v>
      </c>
      <c r="S59" s="231">
        <f>_xlfn.STDEV.S(O59:O61)</f>
        <v>0.14285714285714235</v>
      </c>
      <c r="T59" s="231">
        <f>_xlfn.STDEV.S(P59:P61)</f>
        <v>8.247860988423221E-2</v>
      </c>
      <c r="V59" s="18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18"/>
      <c r="AI59" s="18"/>
      <c r="AJ59" s="18"/>
      <c r="AK59" s="18"/>
      <c r="AL59" s="18"/>
      <c r="AM59" s="18"/>
    </row>
    <row r="60" spans="3:39" x14ac:dyDescent="0.25">
      <c r="C60" s="234" t="s">
        <v>87</v>
      </c>
      <c r="D60" s="235"/>
      <c r="E60" s="235">
        <v>5.7000000000000002E-2</v>
      </c>
      <c r="F60" s="235">
        <v>0.06</v>
      </c>
      <c r="G60" s="235">
        <f t="shared" si="54"/>
        <v>66.857142857142861</v>
      </c>
      <c r="H60" s="235">
        <f t="shared" si="55"/>
        <v>71.142857142857139</v>
      </c>
      <c r="I60" s="235">
        <f t="shared" si="56"/>
        <v>55.428571428571431</v>
      </c>
      <c r="J60" s="235">
        <f t="shared" si="57"/>
        <v>52.571428571428569</v>
      </c>
      <c r="K60" s="235"/>
      <c r="L60" s="235"/>
      <c r="M60" s="235"/>
      <c r="N60" s="235"/>
      <c r="O60" s="235">
        <f t="shared" si="58"/>
        <v>4.1571428571428575</v>
      </c>
      <c r="P60" s="235">
        <f t="shared" si="59"/>
        <v>3.9428571428571431</v>
      </c>
      <c r="Q60" s="235"/>
      <c r="R60" s="235"/>
      <c r="S60" s="235"/>
      <c r="T60" s="231"/>
      <c r="V60" s="20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"/>
      <c r="AM60" s="18"/>
    </row>
    <row r="61" spans="3:39" x14ac:dyDescent="0.25">
      <c r="C61" s="234"/>
      <c r="D61" s="235"/>
      <c r="E61" s="235">
        <v>5.8999999999999997E-2</v>
      </c>
      <c r="F61" s="235">
        <v>0.06</v>
      </c>
      <c r="G61" s="235">
        <f t="shared" si="54"/>
        <v>69.714285714285708</v>
      </c>
      <c r="H61" s="235">
        <f t="shared" si="55"/>
        <v>71.142857142857139</v>
      </c>
      <c r="I61" s="235">
        <f t="shared" si="56"/>
        <v>53.523809523809533</v>
      </c>
      <c r="J61" s="235">
        <f t="shared" si="57"/>
        <v>52.571428571428569</v>
      </c>
      <c r="K61" s="235"/>
      <c r="L61" s="235"/>
      <c r="M61" s="235"/>
      <c r="N61" s="235"/>
      <c r="O61" s="235">
        <f t="shared" si="58"/>
        <v>4.0142857142857151</v>
      </c>
      <c r="P61" s="235">
        <f t="shared" si="59"/>
        <v>3.9428571428571431</v>
      </c>
      <c r="Q61" s="235"/>
      <c r="R61" s="235"/>
      <c r="S61" s="235"/>
      <c r="T61" s="231"/>
      <c r="V61" s="18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18"/>
      <c r="AK61" s="18"/>
      <c r="AL61" s="18"/>
      <c r="AM61" s="18"/>
    </row>
    <row r="62" spans="3:39" x14ac:dyDescent="0.25">
      <c r="C62" s="234"/>
      <c r="D62" s="235"/>
      <c r="E62" s="235"/>
      <c r="F62" s="235"/>
      <c r="G62" s="235"/>
      <c r="H62" s="235"/>
      <c r="I62" s="235"/>
      <c r="J62" s="235"/>
      <c r="K62" s="235"/>
      <c r="L62" s="235"/>
      <c r="M62" s="235"/>
      <c r="N62" s="235"/>
      <c r="O62" s="235"/>
      <c r="P62" s="231"/>
      <c r="Q62" s="231"/>
      <c r="R62" s="231"/>
      <c r="S62" s="235"/>
      <c r="T62" s="231"/>
      <c r="V62" s="18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18"/>
      <c r="AK62" s="18"/>
      <c r="AL62" s="18"/>
      <c r="AM62" s="18"/>
    </row>
    <row r="63" spans="3:39" x14ac:dyDescent="0.25">
      <c r="C63" s="234"/>
      <c r="D63" s="235">
        <v>10</v>
      </c>
      <c r="E63" s="235">
        <v>5.1999999999999998E-2</v>
      </c>
      <c r="F63" s="235">
        <v>5.6000000000000001E-2</v>
      </c>
      <c r="G63" s="235">
        <f t="shared" ref="G63:G65" si="60">(E63-0.0102)/0.0007</f>
        <v>59.714285714285708</v>
      </c>
      <c r="H63" s="235">
        <f t="shared" ref="H63:H65" si="61">(F63-0.0102)/0.0007</f>
        <v>65.428571428571431</v>
      </c>
      <c r="I63" s="235">
        <f t="shared" ref="I63:I65" si="62">((150-G63)/150)*100</f>
        <v>60.190476190476197</v>
      </c>
      <c r="J63" s="235">
        <f t="shared" ref="J63:J65" si="63">((150-H63)/150)*100</f>
        <v>56.38095238095238</v>
      </c>
      <c r="K63" s="235">
        <f>AVERAGE(I63:I65)</f>
        <v>59.873015873015881</v>
      </c>
      <c r="L63" s="235">
        <f>AVERAGE(J63:J65)</f>
        <v>55.428571428571423</v>
      </c>
      <c r="M63" s="235">
        <f>_xlfn.STDEV.S(I63:I65)</f>
        <v>0.54985739922821308</v>
      </c>
      <c r="N63" s="235">
        <f>_xlfn.STDEV.S(J63:J65)</f>
        <v>0.9523809523809561</v>
      </c>
      <c r="O63" s="235">
        <f t="shared" ref="O63:O65" si="64">((150-G63)/1)*0.05</f>
        <v>4.5142857142857151</v>
      </c>
      <c r="P63" s="235">
        <f t="shared" ref="P63:P65" si="65">((150-H63)/1)*0.05</f>
        <v>4.2285714285714286</v>
      </c>
      <c r="Q63" s="235">
        <f>AVERAGE(O63:O65)</f>
        <v>4.4904761904761914</v>
      </c>
      <c r="R63" s="235">
        <f>AVERAGE(P63:P65)</f>
        <v>4.1571428571428575</v>
      </c>
      <c r="S63" s="231">
        <f>_xlfn.STDEV.S(O63:O65)</f>
        <v>4.1239304942116493E-2</v>
      </c>
      <c r="T63" s="231">
        <f>_xlfn.STDEV.S(P63:P65)</f>
        <v>7.1428571428571619E-2</v>
      </c>
      <c r="V63" s="18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19"/>
      <c r="AI63" s="18"/>
      <c r="AJ63" s="18"/>
      <c r="AK63" s="18"/>
      <c r="AL63" s="18"/>
      <c r="AM63" s="18"/>
    </row>
    <row r="64" spans="3:39" x14ac:dyDescent="0.25">
      <c r="C64" s="234"/>
      <c r="D64" s="235"/>
      <c r="E64" s="235">
        <v>5.2999999999999999E-2</v>
      </c>
      <c r="F64" s="235">
        <v>5.7000000000000002E-2</v>
      </c>
      <c r="G64" s="235">
        <f t="shared" si="60"/>
        <v>61.142857142857139</v>
      </c>
      <c r="H64" s="235">
        <f t="shared" si="61"/>
        <v>66.857142857142861</v>
      </c>
      <c r="I64" s="235">
        <f t="shared" si="62"/>
        <v>59.238095238095248</v>
      </c>
      <c r="J64" s="235">
        <f t="shared" si="63"/>
        <v>55.428571428571431</v>
      </c>
      <c r="K64" s="235"/>
      <c r="L64" s="235"/>
      <c r="M64" s="235"/>
      <c r="N64" s="235"/>
      <c r="O64" s="235">
        <f t="shared" si="64"/>
        <v>4.4428571428571431</v>
      </c>
      <c r="P64" s="235">
        <f t="shared" si="65"/>
        <v>4.1571428571428575</v>
      </c>
      <c r="Q64" s="235"/>
      <c r="R64" s="235"/>
      <c r="S64" s="235"/>
      <c r="T64" s="231"/>
      <c r="V64" s="20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"/>
      <c r="AM64" s="18"/>
    </row>
    <row r="65" spans="3:39" x14ac:dyDescent="0.25">
      <c r="C65" s="234"/>
      <c r="D65" s="235"/>
      <c r="E65" s="235">
        <v>5.1999999999999998E-2</v>
      </c>
      <c r="F65" s="235">
        <v>5.8000000000000003E-2</v>
      </c>
      <c r="G65" s="235">
        <f t="shared" si="60"/>
        <v>59.714285714285708</v>
      </c>
      <c r="H65" s="235">
        <f t="shared" si="61"/>
        <v>68.285714285714292</v>
      </c>
      <c r="I65" s="235">
        <f t="shared" si="62"/>
        <v>60.190476190476197</v>
      </c>
      <c r="J65" s="235">
        <f t="shared" si="63"/>
        <v>54.476190476190467</v>
      </c>
      <c r="K65" s="235"/>
      <c r="L65" s="235"/>
      <c r="M65" s="235"/>
      <c r="N65" s="235"/>
      <c r="O65" s="235">
        <f t="shared" si="64"/>
        <v>4.5142857142857151</v>
      </c>
      <c r="P65" s="235">
        <f t="shared" si="65"/>
        <v>4.0857142857142854</v>
      </c>
      <c r="Q65" s="235"/>
      <c r="R65" s="235"/>
      <c r="S65" s="235"/>
      <c r="T65" s="231"/>
      <c r="V65" s="18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18"/>
      <c r="AK65" s="18"/>
      <c r="AL65" s="18"/>
      <c r="AM65" s="18"/>
    </row>
    <row r="66" spans="3:39" x14ac:dyDescent="0.25">
      <c r="C66" s="234"/>
      <c r="D66" s="235"/>
      <c r="E66" s="235"/>
      <c r="F66" s="235"/>
      <c r="G66" s="235"/>
      <c r="H66" s="235"/>
      <c r="I66" s="235"/>
      <c r="J66" s="235"/>
      <c r="K66" s="235"/>
      <c r="L66" s="235"/>
      <c r="M66" s="235"/>
      <c r="N66" s="235"/>
      <c r="O66" s="235"/>
      <c r="P66" s="231"/>
      <c r="Q66" s="231"/>
      <c r="R66" s="231"/>
      <c r="S66" s="235"/>
      <c r="T66" s="231"/>
      <c r="V66" s="18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18"/>
      <c r="AK66" s="18"/>
      <c r="AL66" s="18"/>
      <c r="AM66" s="18"/>
    </row>
    <row r="67" spans="3:39" x14ac:dyDescent="0.25">
      <c r="C67" s="234"/>
      <c r="D67" s="235">
        <v>15</v>
      </c>
      <c r="E67" s="235">
        <v>4.4999999999999998E-2</v>
      </c>
      <c r="F67" s="235">
        <v>4.9000000000000002E-2</v>
      </c>
      <c r="G67" s="235">
        <f t="shared" ref="G67:G69" si="66">(E67-0.0102)/0.0007</f>
        <v>49.714285714285708</v>
      </c>
      <c r="H67" s="235">
        <f t="shared" ref="H67:H69" si="67">(F67-0.0102)/0.0007</f>
        <v>55.428571428571431</v>
      </c>
      <c r="I67" s="235">
        <f t="shared" ref="I67:I69" si="68">((150-G67)/150)*100</f>
        <v>66.857142857142861</v>
      </c>
      <c r="J67" s="235">
        <f t="shared" ref="J67:J69" si="69">((150-H67)/150)*100</f>
        <v>63.047619047619044</v>
      </c>
      <c r="K67" s="235">
        <f>AVERAGE(I67:I69)</f>
        <v>66.857142857142875</v>
      </c>
      <c r="L67" s="235">
        <f>AVERAGE(J67:J69)</f>
        <v>62.730158730158728</v>
      </c>
      <c r="M67" s="235">
        <f>_xlfn.STDEV.S(I67:I69)</f>
        <v>0.9523809523809561</v>
      </c>
      <c r="N67" s="235">
        <f>_xlfn.STDEV.S(J67:J69)</f>
        <v>0.54985739922821308</v>
      </c>
      <c r="O67" s="235">
        <f t="shared" ref="O67:O69" si="70">((150-G67)/1)*0.05</f>
        <v>5.0142857142857151</v>
      </c>
      <c r="P67" s="235">
        <f t="shared" ref="P67:P69" si="71">((150-H67)/1)*0.05</f>
        <v>4.7285714285714286</v>
      </c>
      <c r="Q67" s="235">
        <f>AVERAGE(O67:O69)</f>
        <v>5.0142857142857151</v>
      </c>
      <c r="R67" s="235">
        <f>AVERAGE(P67:P69)</f>
        <v>4.7047619047619049</v>
      </c>
      <c r="S67" s="231">
        <f>_xlfn.STDEV.S(O67:O69)</f>
        <v>7.1428571428571619E-2</v>
      </c>
      <c r="T67" s="231">
        <f>_xlfn.STDEV.S(P67:P69)</f>
        <v>4.123930494211598E-2</v>
      </c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</row>
    <row r="68" spans="3:39" x14ac:dyDescent="0.25">
      <c r="C68" s="234"/>
      <c r="D68" s="235"/>
      <c r="E68" s="235">
        <v>4.3999999999999997E-2</v>
      </c>
      <c r="F68" s="235">
        <v>4.9000000000000002E-2</v>
      </c>
      <c r="G68" s="235">
        <f t="shared" si="66"/>
        <v>48.285714285714285</v>
      </c>
      <c r="H68" s="235">
        <f t="shared" si="67"/>
        <v>55.428571428571431</v>
      </c>
      <c r="I68" s="235">
        <f t="shared" si="68"/>
        <v>67.809523809523824</v>
      </c>
      <c r="J68" s="235">
        <f t="shared" si="69"/>
        <v>63.047619047619044</v>
      </c>
      <c r="K68" s="235"/>
      <c r="L68" s="235"/>
      <c r="M68" s="235"/>
      <c r="N68" s="235"/>
      <c r="O68" s="235">
        <f t="shared" si="70"/>
        <v>5.0857142857142863</v>
      </c>
      <c r="P68" s="235">
        <f t="shared" si="71"/>
        <v>4.7285714285714286</v>
      </c>
      <c r="Q68" s="235"/>
      <c r="R68" s="235"/>
      <c r="S68" s="235"/>
      <c r="T68" s="231"/>
      <c r="V68" s="20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"/>
      <c r="AM68" s="18"/>
    </row>
    <row r="69" spans="3:39" x14ac:dyDescent="0.25">
      <c r="C69" s="234"/>
      <c r="D69" s="235"/>
      <c r="E69" s="235">
        <v>4.5999999999999999E-2</v>
      </c>
      <c r="F69" s="235">
        <v>0.05</v>
      </c>
      <c r="G69" s="235">
        <f t="shared" si="66"/>
        <v>51.142857142857139</v>
      </c>
      <c r="H69" s="235">
        <f t="shared" si="67"/>
        <v>56.857142857142861</v>
      </c>
      <c r="I69" s="235">
        <f t="shared" si="68"/>
        <v>65.904761904761912</v>
      </c>
      <c r="J69" s="235">
        <f t="shared" si="69"/>
        <v>62.095238095238095</v>
      </c>
      <c r="K69" s="235"/>
      <c r="L69" s="235"/>
      <c r="M69" s="235"/>
      <c r="N69" s="235"/>
      <c r="O69" s="235">
        <f t="shared" si="70"/>
        <v>4.9428571428571431</v>
      </c>
      <c r="P69" s="235">
        <f t="shared" si="71"/>
        <v>4.6571428571428575</v>
      </c>
      <c r="Q69" s="235"/>
      <c r="R69" s="235"/>
      <c r="S69" s="235"/>
      <c r="T69" s="231"/>
      <c r="V69" s="18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18"/>
      <c r="AK69" s="18"/>
      <c r="AL69" s="18"/>
      <c r="AM69" s="18"/>
    </row>
    <row r="70" spans="3:39" x14ac:dyDescent="0.25">
      <c r="C70" s="234"/>
      <c r="D70" s="235"/>
      <c r="E70" s="235"/>
      <c r="F70" s="235"/>
      <c r="G70" s="235"/>
      <c r="H70" s="235"/>
      <c r="I70" s="235"/>
      <c r="J70" s="235"/>
      <c r="K70" s="235"/>
      <c r="L70" s="235"/>
      <c r="M70" s="235"/>
      <c r="N70" s="235"/>
      <c r="O70" s="235"/>
      <c r="P70" s="231"/>
      <c r="Q70" s="231"/>
      <c r="R70" s="231"/>
      <c r="S70" s="231"/>
      <c r="T70" s="231"/>
      <c r="V70" s="18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18"/>
      <c r="AK70" s="18"/>
      <c r="AL70" s="18"/>
      <c r="AM70" s="18"/>
    </row>
    <row r="71" spans="3:39" x14ac:dyDescent="0.25">
      <c r="C71" s="234"/>
      <c r="D71" s="235">
        <v>20</v>
      </c>
      <c r="E71" s="235">
        <v>3.7999999999999999E-2</v>
      </c>
      <c r="F71" s="235">
        <v>4.3999999999999997E-2</v>
      </c>
      <c r="G71" s="235">
        <f t="shared" ref="G71:G73" si="72">(E71-0.0102)/0.0007</f>
        <v>39.714285714285715</v>
      </c>
      <c r="H71" s="235">
        <f t="shared" ref="H71:H73" si="73">(F71-0.0102)/0.0007</f>
        <v>48.285714285714285</v>
      </c>
      <c r="I71" s="235">
        <f t="shared" ref="I71:I73" si="74">((150-G71)/150)*100</f>
        <v>73.523809523809518</v>
      </c>
      <c r="J71" s="235">
        <f t="shared" ref="J71:J73" si="75">((150-H71)/150)*100</f>
        <v>67.809523809523824</v>
      </c>
      <c r="K71" s="235">
        <f>AVERAGE(I71:I73)</f>
        <v>73.206349206349202</v>
      </c>
      <c r="L71" s="235">
        <f>AVERAGE(J71:J73)</f>
        <v>67.80952380952381</v>
      </c>
      <c r="M71" s="235">
        <f>_xlfn.STDEV.S(I71:I73)</f>
        <v>0.54985739922821308</v>
      </c>
      <c r="N71" s="235">
        <f>_xlfn.STDEV.S(J71:J73)</f>
        <v>0.952380952380949</v>
      </c>
      <c r="O71" s="235">
        <f t="shared" ref="O71:O73" si="76">((150-G71)/1)*0.05</f>
        <v>5.5142857142857142</v>
      </c>
      <c r="P71" s="235">
        <f t="shared" ref="P71:P73" si="77">((150-H71)/1)*0.05</f>
        <v>5.0857142857142863</v>
      </c>
      <c r="Q71" s="235">
        <f>AVERAGE(O71:O73)</f>
        <v>5.4904761904761905</v>
      </c>
      <c r="R71" s="235">
        <f>AVERAGE(P71:P73)</f>
        <v>5.0857142857142863</v>
      </c>
      <c r="S71" s="231">
        <f>_xlfn.STDEV.S(O71:O73)</f>
        <v>4.123930494211598E-2</v>
      </c>
      <c r="T71" s="231">
        <f>_xlfn.STDEV.S(P71:P73)</f>
        <v>7.1428571428571175E-2</v>
      </c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</row>
    <row r="72" spans="3:39" x14ac:dyDescent="0.25">
      <c r="C72" s="234"/>
      <c r="D72" s="235"/>
      <c r="E72" s="235">
        <v>3.7999999999999999E-2</v>
      </c>
      <c r="F72" s="235">
        <v>4.4999999999999998E-2</v>
      </c>
      <c r="G72" s="235">
        <f t="shared" si="72"/>
        <v>39.714285714285715</v>
      </c>
      <c r="H72" s="235">
        <f t="shared" si="73"/>
        <v>49.714285714285708</v>
      </c>
      <c r="I72" s="235">
        <f t="shared" si="74"/>
        <v>73.523809523809518</v>
      </c>
      <c r="J72" s="235">
        <f t="shared" si="75"/>
        <v>66.857142857142861</v>
      </c>
      <c r="K72" s="235"/>
      <c r="L72" s="235"/>
      <c r="M72" s="235"/>
      <c r="N72" s="235"/>
      <c r="O72" s="235">
        <f t="shared" si="76"/>
        <v>5.5142857142857142</v>
      </c>
      <c r="P72" s="235">
        <f t="shared" si="77"/>
        <v>5.0142857142857151</v>
      </c>
      <c r="Q72" s="231"/>
      <c r="R72" s="231"/>
      <c r="S72" s="231"/>
      <c r="T72" s="231"/>
    </row>
    <row r="73" spans="3:39" x14ac:dyDescent="0.25">
      <c r="C73" s="234"/>
      <c r="D73" s="235"/>
      <c r="E73" s="235">
        <v>3.9E-2</v>
      </c>
      <c r="F73" s="235">
        <v>4.2999999999999997E-2</v>
      </c>
      <c r="G73" s="235">
        <f t="shared" si="72"/>
        <v>41.142857142857139</v>
      </c>
      <c r="H73" s="235">
        <f t="shared" si="73"/>
        <v>46.857142857142854</v>
      </c>
      <c r="I73" s="235">
        <f t="shared" si="74"/>
        <v>72.571428571428569</v>
      </c>
      <c r="J73" s="235">
        <f t="shared" si="75"/>
        <v>68.761904761904759</v>
      </c>
      <c r="K73" s="235"/>
      <c r="L73" s="235"/>
      <c r="M73" s="235"/>
      <c r="N73" s="235"/>
      <c r="O73" s="235">
        <f t="shared" si="76"/>
        <v>5.4428571428571431</v>
      </c>
      <c r="P73" s="235">
        <f t="shared" si="77"/>
        <v>5.1571428571428575</v>
      </c>
      <c r="Q73" s="231"/>
      <c r="R73" s="231"/>
      <c r="S73" s="231"/>
      <c r="T73" s="231"/>
    </row>
    <row r="74" spans="3:39" x14ac:dyDescent="0.25">
      <c r="C74" s="234"/>
      <c r="D74" s="235"/>
      <c r="E74" s="235"/>
      <c r="F74" s="235"/>
      <c r="G74" s="235"/>
      <c r="H74" s="235"/>
      <c r="I74" s="235"/>
      <c r="J74" s="235"/>
      <c r="K74" s="235"/>
      <c r="L74" s="235"/>
      <c r="M74" s="235"/>
      <c r="N74" s="235"/>
      <c r="O74" s="235"/>
      <c r="P74" s="231"/>
      <c r="Q74" s="231"/>
      <c r="R74" s="231"/>
      <c r="S74" s="231"/>
      <c r="T74" s="231"/>
    </row>
    <row r="75" spans="3:39" x14ac:dyDescent="0.25">
      <c r="C75" s="234"/>
      <c r="D75" s="235">
        <v>40</v>
      </c>
      <c r="E75" s="235">
        <v>3.4000000000000002E-2</v>
      </c>
      <c r="F75" s="235">
        <v>3.9E-2</v>
      </c>
      <c r="G75" s="235">
        <f t="shared" ref="G75:G77" si="78">(E75-0.0102)/0.0007</f>
        <v>34</v>
      </c>
      <c r="H75" s="235">
        <f t="shared" ref="H75:H77" si="79">(F75-0.0102)/0.0007</f>
        <v>41.142857142857139</v>
      </c>
      <c r="I75" s="235">
        <f t="shared" ref="I75:I77" si="80">((150-G75)/150)*100</f>
        <v>77.333333333333329</v>
      </c>
      <c r="J75" s="235">
        <f t="shared" ref="J75:J77" si="81">((150-H75)/150)*100</f>
        <v>72.571428571428569</v>
      </c>
      <c r="K75" s="235">
        <f>AVERAGE(I75:I77)</f>
        <v>77.650793650793659</v>
      </c>
      <c r="L75" s="235">
        <f>AVERAGE(J75:J77)</f>
        <v>72.253968253968253</v>
      </c>
      <c r="M75" s="235">
        <f>_xlfn.STDEV.S(I75:I77)</f>
        <v>0.5498573992282213</v>
      </c>
      <c r="N75" s="235">
        <f>_xlfn.STDEV.S(J75:J77)</f>
        <v>0.54985739922821308</v>
      </c>
      <c r="O75" s="235">
        <f t="shared" ref="O75:O77" si="82">((150-G75)/1)*0.05</f>
        <v>5.8000000000000007</v>
      </c>
      <c r="P75" s="235">
        <f t="shared" ref="P75:P77" si="83">((150-H75)/1)*0.05</f>
        <v>5.4428571428571431</v>
      </c>
      <c r="Q75" s="235">
        <f>AVERAGE(O75:O77)</f>
        <v>5.8238095238095253</v>
      </c>
      <c r="R75" s="235">
        <f>AVERAGE(P75:P77)</f>
        <v>5.4190476190476202</v>
      </c>
      <c r="S75" s="231">
        <f>_xlfn.STDEV.S(O75:O77)</f>
        <v>4.123930494211598E-2</v>
      </c>
      <c r="T75" s="231">
        <f>_xlfn.STDEV.S(P75:P77)</f>
        <v>4.123930494211598E-2</v>
      </c>
    </row>
    <row r="76" spans="3:39" x14ac:dyDescent="0.25">
      <c r="C76" s="234"/>
      <c r="D76" s="235"/>
      <c r="E76" s="235">
        <v>3.3000000000000002E-2</v>
      </c>
      <c r="F76" s="235">
        <v>0.04</v>
      </c>
      <c r="G76" s="235">
        <f t="shared" si="78"/>
        <v>32.571428571428569</v>
      </c>
      <c r="H76" s="235">
        <f t="shared" si="79"/>
        <v>42.571428571428569</v>
      </c>
      <c r="I76" s="235">
        <f t="shared" si="80"/>
        <v>78.285714285714292</v>
      </c>
      <c r="J76" s="235">
        <f t="shared" si="81"/>
        <v>71.61904761904762</v>
      </c>
      <c r="K76" s="235"/>
      <c r="L76" s="235"/>
      <c r="M76" s="235"/>
      <c r="N76" s="235"/>
      <c r="O76" s="235">
        <f t="shared" si="82"/>
        <v>5.8714285714285719</v>
      </c>
      <c r="P76" s="235">
        <f t="shared" si="83"/>
        <v>5.3714285714285719</v>
      </c>
      <c r="Q76" s="231"/>
      <c r="R76" s="231"/>
      <c r="S76" s="231"/>
      <c r="T76" s="231"/>
    </row>
    <row r="77" spans="3:39" x14ac:dyDescent="0.25">
      <c r="C77" s="234"/>
      <c r="D77" s="235"/>
      <c r="E77" s="235">
        <v>3.4000000000000002E-2</v>
      </c>
      <c r="F77" s="235">
        <v>3.9E-2</v>
      </c>
      <c r="G77" s="235">
        <f t="shared" si="78"/>
        <v>34</v>
      </c>
      <c r="H77" s="235">
        <f t="shared" si="79"/>
        <v>41.142857142857139</v>
      </c>
      <c r="I77" s="235">
        <f t="shared" si="80"/>
        <v>77.333333333333329</v>
      </c>
      <c r="J77" s="235">
        <f t="shared" si="81"/>
        <v>72.571428571428569</v>
      </c>
      <c r="K77" s="235"/>
      <c r="L77" s="235"/>
      <c r="M77" s="235"/>
      <c r="N77" s="235"/>
      <c r="O77" s="235">
        <f t="shared" si="82"/>
        <v>5.8000000000000007</v>
      </c>
      <c r="P77" s="235">
        <f t="shared" si="83"/>
        <v>5.4428571428571431</v>
      </c>
      <c r="Q77" s="231"/>
      <c r="R77" s="231"/>
      <c r="S77" s="231"/>
      <c r="T77" s="231"/>
    </row>
    <row r="78" spans="3:39" x14ac:dyDescent="0.25">
      <c r="C78" s="234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  <c r="O78" s="236"/>
      <c r="P78" s="231"/>
      <c r="Q78" s="231"/>
      <c r="R78" s="231"/>
      <c r="S78" s="231"/>
      <c r="T78" s="231"/>
    </row>
    <row r="79" spans="3:39" x14ac:dyDescent="0.25">
      <c r="C79" s="237"/>
      <c r="D79" s="235">
        <v>60</v>
      </c>
      <c r="E79" s="235">
        <v>0.03</v>
      </c>
      <c r="F79" s="235">
        <v>3.5000000000000003E-2</v>
      </c>
      <c r="G79" s="235">
        <f t="shared" ref="G79:G81" si="84">(E79-0.0102)/0.0007</f>
        <v>28.285714285714285</v>
      </c>
      <c r="H79" s="235">
        <f t="shared" ref="H79:H81" si="85">(F79-0.0102)/0.0007</f>
        <v>35.428571428571431</v>
      </c>
      <c r="I79" s="235">
        <f t="shared" ref="I79:I81" si="86">((150-G79)/150)*100</f>
        <v>81.142857142857153</v>
      </c>
      <c r="J79" s="235">
        <f t="shared" ref="J79:J81" si="87">((150-H79)/150)*100</f>
        <v>76.38095238095238</v>
      </c>
      <c r="K79" s="235">
        <f>AVERAGE(I79:I81)</f>
        <v>80.825396825396822</v>
      </c>
      <c r="L79" s="235">
        <f>AVERAGE(J79:J81)</f>
        <v>77.015873015873012</v>
      </c>
      <c r="M79" s="235">
        <f>_xlfn.STDEV.S(I79:I81)</f>
        <v>0.5498573992282213</v>
      </c>
      <c r="N79" s="235">
        <f>_xlfn.STDEV.S(J79:J81)</f>
        <v>1.0997147984564344</v>
      </c>
      <c r="O79" s="235">
        <f t="shared" ref="O79:O81" si="88">((150-G79)/1)*0.05</f>
        <v>6.0857142857142863</v>
      </c>
      <c r="P79" s="235">
        <f t="shared" ref="P79:P81" si="89">((150-H79)/1)*0.05</f>
        <v>5.7285714285714286</v>
      </c>
      <c r="Q79" s="235">
        <f>AVERAGE(O79:O81)</f>
        <v>6.0619047619047626</v>
      </c>
      <c r="R79" s="235">
        <f>AVERAGE(P79:P81)</f>
        <v>5.7761904761904761</v>
      </c>
      <c r="S79" s="231">
        <f>_xlfn.STDEV.S(O79:O81)</f>
        <v>4.123930494211598E-2</v>
      </c>
      <c r="T79" s="231">
        <f>_xlfn.STDEV.S(P79:P81)</f>
        <v>8.2478609884232473E-2</v>
      </c>
    </row>
    <row r="80" spans="3:39" x14ac:dyDescent="0.25">
      <c r="C80" s="234"/>
      <c r="D80" s="235"/>
      <c r="E80" s="235">
        <v>3.1E-2</v>
      </c>
      <c r="F80" s="235">
        <v>3.5000000000000003E-2</v>
      </c>
      <c r="G80" s="235">
        <f t="shared" si="84"/>
        <v>29.714285714285712</v>
      </c>
      <c r="H80" s="235">
        <f t="shared" si="85"/>
        <v>35.428571428571431</v>
      </c>
      <c r="I80" s="235">
        <f t="shared" si="86"/>
        <v>80.19047619047619</v>
      </c>
      <c r="J80" s="235">
        <f t="shared" si="87"/>
        <v>76.38095238095238</v>
      </c>
      <c r="K80" s="235"/>
      <c r="L80" s="235"/>
      <c r="M80" s="235"/>
      <c r="N80" s="235"/>
      <c r="O80" s="235">
        <f t="shared" si="88"/>
        <v>6.0142857142857151</v>
      </c>
      <c r="P80" s="235">
        <f t="shared" si="89"/>
        <v>5.7285714285714286</v>
      </c>
      <c r="Q80" s="231"/>
      <c r="R80" s="231"/>
      <c r="S80" s="231"/>
      <c r="T80" s="231"/>
    </row>
    <row r="81" spans="3:20" x14ac:dyDescent="0.25">
      <c r="C81" s="238"/>
      <c r="D81" s="235"/>
      <c r="E81" s="235">
        <v>0.03</v>
      </c>
      <c r="F81" s="235">
        <v>3.3000000000000002E-2</v>
      </c>
      <c r="G81" s="235">
        <f t="shared" si="84"/>
        <v>28.285714285714285</v>
      </c>
      <c r="H81" s="235">
        <f t="shared" si="85"/>
        <v>32.571428571428569</v>
      </c>
      <c r="I81" s="235">
        <f t="shared" si="86"/>
        <v>81.142857142857153</v>
      </c>
      <c r="J81" s="235">
        <f t="shared" si="87"/>
        <v>78.285714285714292</v>
      </c>
      <c r="K81" s="235"/>
      <c r="L81" s="235"/>
      <c r="M81" s="235"/>
      <c r="N81" s="235"/>
      <c r="O81" s="235">
        <f t="shared" si="88"/>
        <v>6.0857142857142863</v>
      </c>
      <c r="P81" s="235">
        <f t="shared" si="89"/>
        <v>5.8714285714285719</v>
      </c>
      <c r="Q81" s="231"/>
      <c r="R81" s="231"/>
      <c r="S81" s="231"/>
      <c r="T81" s="231"/>
    </row>
    <row r="84" spans="3:20" ht="18" x14ac:dyDescent="0.35">
      <c r="C84" s="48" t="s">
        <v>0</v>
      </c>
      <c r="D84" s="317" t="s">
        <v>89</v>
      </c>
      <c r="E84" s="318"/>
      <c r="F84" s="319"/>
      <c r="G84" s="317" t="s">
        <v>90</v>
      </c>
      <c r="H84" s="318"/>
      <c r="I84" s="319"/>
    </row>
    <row r="85" spans="3:20" x14ac:dyDescent="0.25">
      <c r="C85" s="47" t="s">
        <v>88</v>
      </c>
      <c r="D85" s="239">
        <v>30</v>
      </c>
      <c r="E85" s="239">
        <v>40</v>
      </c>
      <c r="F85" s="239">
        <v>50</v>
      </c>
      <c r="G85" s="239">
        <v>30</v>
      </c>
      <c r="H85" s="239">
        <v>40</v>
      </c>
      <c r="I85" s="239">
        <v>50</v>
      </c>
    </row>
    <row r="86" spans="3:20" x14ac:dyDescent="0.25">
      <c r="C86" s="169">
        <v>5</v>
      </c>
      <c r="D86" s="92">
        <f>D5/Q5</f>
        <v>1.7558528428093645</v>
      </c>
      <c r="E86" s="92">
        <f>D32/Q32</f>
        <v>1.3944223107569722</v>
      </c>
      <c r="F86" s="92">
        <f>D59/Q59</f>
        <v>1.2027491408934707</v>
      </c>
      <c r="G86" s="92">
        <f>D5/R5</f>
        <v>1.9516728624535318</v>
      </c>
      <c r="H86" s="92">
        <f>D32/R32</f>
        <v>1.493598862019915</v>
      </c>
      <c r="I86" s="92">
        <f>D59/R59</f>
        <v>1.2836185819070904</v>
      </c>
    </row>
    <row r="87" spans="3:20" x14ac:dyDescent="0.25">
      <c r="C87" s="169">
        <v>10</v>
      </c>
      <c r="D87" s="92">
        <f>D9/Q9</f>
        <v>3.0523255813953485</v>
      </c>
      <c r="E87" s="92">
        <f>D36/Q36</f>
        <v>2.4475524475524471</v>
      </c>
      <c r="F87" s="92">
        <f>D63/Q63</f>
        <v>2.2269353128313889</v>
      </c>
      <c r="G87" s="92">
        <f>D9/R9</f>
        <v>3.4539473684210522</v>
      </c>
      <c r="H87" s="92">
        <f>D36/R36</f>
        <v>2.6992287917737792</v>
      </c>
      <c r="I87" s="92">
        <f>D63/R63</f>
        <v>2.4054982817869415</v>
      </c>
    </row>
    <row r="88" spans="3:20" x14ac:dyDescent="0.25">
      <c r="C88" s="169">
        <v>15</v>
      </c>
      <c r="D88" s="92">
        <f>D13/Q13</f>
        <v>4.0229885057471266</v>
      </c>
      <c r="E88" s="92">
        <f>D40/Q40</f>
        <v>3.3404029692470836</v>
      </c>
      <c r="F88" s="92">
        <f>D67/Q67</f>
        <v>2.991452991452991</v>
      </c>
      <c r="G88" s="92">
        <f>D13/R13</f>
        <v>4.6460176991150446</v>
      </c>
      <c r="H88" s="92">
        <f>D40/R40</f>
        <v>3.5673839184597962</v>
      </c>
      <c r="I88" s="92">
        <f>D67/R67</f>
        <v>3.1882591093117409</v>
      </c>
    </row>
    <row r="89" spans="3:20" x14ac:dyDescent="0.25">
      <c r="C89" s="169">
        <v>20</v>
      </c>
      <c r="D89" s="92">
        <f>D17/Q17</f>
        <v>4.756511891279728</v>
      </c>
      <c r="E89" s="92">
        <f>D44/Q44</f>
        <v>4.0462427745664735</v>
      </c>
      <c r="F89" s="92">
        <f>D71/Q71</f>
        <v>3.6426712922810061</v>
      </c>
      <c r="G89" s="92">
        <f>D17/R17</f>
        <v>5.46875</v>
      </c>
      <c r="H89" s="92">
        <f>D44/R44</f>
        <v>4.2084168336673349</v>
      </c>
      <c r="I89" s="92">
        <f>D71/R71</f>
        <v>3.9325842696629207</v>
      </c>
    </row>
    <row r="90" spans="3:20" x14ac:dyDescent="0.25">
      <c r="C90" s="169">
        <v>40</v>
      </c>
      <c r="D90" s="93">
        <f>D21/Q21</f>
        <v>8.0536912751677843</v>
      </c>
      <c r="E90" s="92">
        <f>D48/Q48</f>
        <v>7.5471698113207539</v>
      </c>
      <c r="F90" s="92">
        <f>D75/Q75</f>
        <v>6.8683565004088294</v>
      </c>
      <c r="G90" s="93">
        <f>D21/R21</f>
        <v>9.1007583965330436</v>
      </c>
      <c r="H90" s="92">
        <f>D48/R48</f>
        <v>7.8285181733457589</v>
      </c>
      <c r="I90" s="92">
        <f>D75/R75</f>
        <v>7.3813708260105431</v>
      </c>
    </row>
    <row r="91" spans="3:20" x14ac:dyDescent="0.25">
      <c r="C91" s="104">
        <v>60</v>
      </c>
      <c r="D91" s="92">
        <f>D25/Q25</f>
        <v>11.688311688311687</v>
      </c>
      <c r="E91" s="92">
        <f>D52/Q52</f>
        <v>10.787671232876711</v>
      </c>
      <c r="F91" s="92">
        <f>D79/Q79</f>
        <v>9.8978790259230163</v>
      </c>
      <c r="G91" s="92">
        <f>D25/R25</f>
        <v>12.562313060817548</v>
      </c>
      <c r="H91" s="92">
        <f>D52/R52</f>
        <v>11.270125223613594</v>
      </c>
      <c r="I91" s="92">
        <f>D79/R79</f>
        <v>10.387469084913437</v>
      </c>
    </row>
    <row r="98" spans="3:22" x14ac:dyDescent="0.25">
      <c r="C98" s="18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19"/>
      <c r="P98" s="18"/>
      <c r="Q98" s="18"/>
      <c r="R98" s="18"/>
      <c r="S98" s="18"/>
      <c r="T98" s="18"/>
    </row>
    <row r="99" spans="3:22" x14ac:dyDescent="0.25">
      <c r="C99" s="20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18"/>
      <c r="T99" s="18"/>
    </row>
    <row r="100" spans="3:22" x14ac:dyDescent="0.25">
      <c r="F100" s="56" t="s">
        <v>95</v>
      </c>
      <c r="L100" s="21"/>
      <c r="M100" s="21"/>
      <c r="Q100" s="56" t="s">
        <v>96</v>
      </c>
    </row>
    <row r="101" spans="3:22" ht="18.75" x14ac:dyDescent="0.35">
      <c r="C101" s="166" t="s">
        <v>91</v>
      </c>
      <c r="D101" s="167" t="s">
        <v>36</v>
      </c>
      <c r="E101" s="167" t="s">
        <v>32</v>
      </c>
      <c r="F101" s="167" t="s">
        <v>92</v>
      </c>
      <c r="G101" s="167" t="s">
        <v>93</v>
      </c>
      <c r="H101" s="167" t="s">
        <v>35</v>
      </c>
      <c r="I101" s="167" t="s">
        <v>63</v>
      </c>
      <c r="J101" s="167" t="s">
        <v>76</v>
      </c>
      <c r="K101" s="168" t="s">
        <v>94</v>
      </c>
      <c r="L101" s="21"/>
      <c r="M101" s="21"/>
      <c r="N101" s="166" t="s">
        <v>91</v>
      </c>
      <c r="O101" s="167" t="s">
        <v>36</v>
      </c>
      <c r="P101" s="167" t="s">
        <v>32</v>
      </c>
      <c r="Q101" s="167" t="s">
        <v>92</v>
      </c>
      <c r="R101" s="167" t="s">
        <v>93</v>
      </c>
      <c r="S101" s="167" t="s">
        <v>35</v>
      </c>
      <c r="T101" s="167" t="s">
        <v>63</v>
      </c>
      <c r="U101" s="167" t="s">
        <v>76</v>
      </c>
      <c r="V101" s="168" t="s">
        <v>94</v>
      </c>
    </row>
    <row r="102" spans="3:22" x14ac:dyDescent="0.25">
      <c r="C102" s="219">
        <v>30</v>
      </c>
      <c r="D102" s="229">
        <v>0.17499999999999999</v>
      </c>
      <c r="E102" s="229">
        <f>1/D102</f>
        <v>5.7142857142857144</v>
      </c>
      <c r="F102" s="229">
        <v>1.1801999999999999</v>
      </c>
      <c r="G102" s="229">
        <f>1/(F102*E102*E102)</f>
        <v>2.594899169632266E-2</v>
      </c>
      <c r="H102" s="229">
        <v>0.99739999999999995</v>
      </c>
      <c r="I102" s="228">
        <f>273+C102</f>
        <v>303</v>
      </c>
      <c r="J102" s="229">
        <f>1/I102</f>
        <v>3.3003300330033004E-3</v>
      </c>
      <c r="K102" s="240">
        <f>LN(G102)</f>
        <v>-3.6516225257581771</v>
      </c>
      <c r="L102" s="18"/>
      <c r="M102" s="18"/>
      <c r="N102" s="219">
        <v>30</v>
      </c>
      <c r="O102" s="229">
        <v>0.18709999999999999</v>
      </c>
      <c r="P102" s="229">
        <f>1/O102</f>
        <v>5.344735435595938</v>
      </c>
      <c r="Q102" s="229">
        <v>1.5206</v>
      </c>
      <c r="R102" s="229">
        <f>1/(Q102*P102*P102)</f>
        <v>2.302144548204656E-2</v>
      </c>
      <c r="S102" s="229">
        <v>0.99419999999999997</v>
      </c>
      <c r="T102" s="228">
        <f>273+N102</f>
        <v>303</v>
      </c>
      <c r="U102" s="229">
        <f>1/T102</f>
        <v>3.3003300330033004E-3</v>
      </c>
      <c r="V102" s="240">
        <f>LN(R102)</f>
        <v>-3.7713290852163857</v>
      </c>
    </row>
    <row r="103" spans="3:22" x14ac:dyDescent="0.25">
      <c r="C103" s="219">
        <v>40</v>
      </c>
      <c r="D103" s="229">
        <v>0.16930000000000001</v>
      </c>
      <c r="E103" s="229">
        <f>1/D103</f>
        <v>5.9066745422327225</v>
      </c>
      <c r="F103" s="229">
        <v>0.69379999999999997</v>
      </c>
      <c r="G103" s="229">
        <f>1/(F103*E103*E103)</f>
        <v>4.1312323436148754E-2</v>
      </c>
      <c r="H103" s="229">
        <v>0.99919999999999998</v>
      </c>
      <c r="I103" s="228">
        <f>273+C103</f>
        <v>313</v>
      </c>
      <c r="J103" s="229">
        <f>1/I103</f>
        <v>3.1948881789137379E-3</v>
      </c>
      <c r="K103" s="240">
        <f>LN(G103)</f>
        <v>-3.1865944352396069</v>
      </c>
      <c r="L103" s="21"/>
      <c r="M103" s="21"/>
      <c r="N103" s="219">
        <v>40</v>
      </c>
      <c r="O103" s="229">
        <v>0.1749</v>
      </c>
      <c r="P103" s="229">
        <f>1/O103</f>
        <v>5.7175528873642083</v>
      </c>
      <c r="Q103" s="229">
        <v>0.80510000000000004</v>
      </c>
      <c r="R103" s="229">
        <f>1/(Q103*P103*P103)</f>
        <v>3.7995292510247178E-2</v>
      </c>
      <c r="S103" s="229">
        <v>0.99870000000000003</v>
      </c>
      <c r="T103" s="228">
        <f>273+N103</f>
        <v>313</v>
      </c>
      <c r="U103" s="229">
        <f>1/T103</f>
        <v>3.1948881789137379E-3</v>
      </c>
      <c r="V103" s="240">
        <f>LN(R103)</f>
        <v>-3.2702930082389594</v>
      </c>
    </row>
    <row r="104" spans="3:22" x14ac:dyDescent="0.25">
      <c r="C104" s="221">
        <v>50</v>
      </c>
      <c r="D104" s="241">
        <v>0.15629999999999999</v>
      </c>
      <c r="E104" s="241">
        <f>1/D104</f>
        <v>6.3979526551503518</v>
      </c>
      <c r="F104" s="241">
        <v>0.56410000000000005</v>
      </c>
      <c r="G104" s="241">
        <f>1/(F104*E104*E104)</f>
        <v>4.3307374578975349E-2</v>
      </c>
      <c r="H104" s="241">
        <v>0.99919999999999998</v>
      </c>
      <c r="I104" s="242">
        <f>273+C104</f>
        <v>323</v>
      </c>
      <c r="J104" s="241">
        <f>1/I104</f>
        <v>3.0959752321981426E-3</v>
      </c>
      <c r="K104" s="243">
        <f>LN(G104)</f>
        <v>-3.1394323448732058</v>
      </c>
      <c r="L104" s="21"/>
      <c r="M104" s="21"/>
      <c r="N104" s="221">
        <v>50</v>
      </c>
      <c r="O104" s="241">
        <v>0.1641</v>
      </c>
      <c r="P104" s="241">
        <f>1/O104</f>
        <v>6.0938452163315056</v>
      </c>
      <c r="Q104" s="241">
        <v>0.66110000000000002</v>
      </c>
      <c r="R104" s="241">
        <f>1/(Q104*P104*P104)</f>
        <v>4.0733338375434879E-2</v>
      </c>
      <c r="S104" s="241">
        <v>0.99839999999999995</v>
      </c>
      <c r="T104" s="242">
        <f>273+N104</f>
        <v>323</v>
      </c>
      <c r="U104" s="241">
        <f>1/T104</f>
        <v>3.0959752321981426E-3</v>
      </c>
      <c r="V104" s="243">
        <f>LN(R104)</f>
        <v>-3.2007083971295791</v>
      </c>
    </row>
    <row r="105" spans="3:22" x14ac:dyDescent="0.25">
      <c r="C105" s="21"/>
      <c r="D105" s="21"/>
      <c r="E105" s="21"/>
      <c r="F105" s="21"/>
      <c r="G105" s="21"/>
      <c r="H105" s="21"/>
      <c r="I105" s="19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19"/>
      <c r="U105" s="21"/>
      <c r="V105" s="21"/>
    </row>
    <row r="106" spans="3:22" x14ac:dyDescent="0.25">
      <c r="C106" s="21"/>
      <c r="D106" s="21"/>
      <c r="E106" s="21"/>
      <c r="F106" s="244" t="s">
        <v>97</v>
      </c>
      <c r="G106" s="21"/>
      <c r="H106" s="21"/>
      <c r="I106" s="19"/>
      <c r="J106" s="21"/>
      <c r="K106" s="21"/>
      <c r="N106" s="21"/>
      <c r="O106" s="21"/>
      <c r="P106" s="21"/>
      <c r="Q106" s="244" t="s">
        <v>97</v>
      </c>
      <c r="R106" s="21"/>
      <c r="S106" s="21"/>
      <c r="T106" s="19"/>
      <c r="U106" s="21"/>
      <c r="V106" s="21"/>
    </row>
    <row r="110" spans="3:22" x14ac:dyDescent="0.25">
      <c r="C110" s="19"/>
      <c r="D110" s="19"/>
      <c r="E110" s="19"/>
      <c r="F110" s="19"/>
      <c r="G110" s="19"/>
    </row>
    <row r="111" spans="3:22" x14ac:dyDescent="0.25">
      <c r="C111" s="21"/>
      <c r="D111" s="19"/>
      <c r="E111" s="19"/>
      <c r="F111" s="19"/>
      <c r="G111" s="19"/>
    </row>
    <row r="112" spans="3:22" x14ac:dyDescent="0.25">
      <c r="C112" s="21"/>
      <c r="D112" s="21"/>
      <c r="E112" s="21"/>
      <c r="F112" s="21"/>
      <c r="G112" s="21"/>
    </row>
    <row r="113" spans="3:17" x14ac:dyDescent="0.25">
      <c r="C113" s="21"/>
      <c r="D113" s="21"/>
      <c r="E113" s="21"/>
      <c r="F113" s="21"/>
      <c r="G113" s="21"/>
    </row>
    <row r="114" spans="3:17" x14ac:dyDescent="0.25">
      <c r="C114" s="21"/>
      <c r="D114" s="21"/>
      <c r="E114" s="21"/>
      <c r="F114" s="21"/>
      <c r="G114" s="21"/>
    </row>
    <row r="115" spans="3:17" x14ac:dyDescent="0.25">
      <c r="C115" s="21"/>
      <c r="D115" s="21"/>
      <c r="E115" s="21"/>
      <c r="F115" s="21"/>
      <c r="G115" s="21"/>
    </row>
    <row r="116" spans="3:17" x14ac:dyDescent="0.25">
      <c r="C116" s="21"/>
      <c r="D116" s="21"/>
      <c r="E116" s="21"/>
      <c r="F116" s="21"/>
      <c r="G116" s="21"/>
    </row>
    <row r="117" spans="3:17" x14ac:dyDescent="0.25">
      <c r="C117" s="21"/>
      <c r="D117" s="21"/>
      <c r="E117" s="21"/>
      <c r="F117" s="21"/>
      <c r="G117" s="21"/>
    </row>
    <row r="118" spans="3:17" x14ac:dyDescent="0.25">
      <c r="C118" s="21"/>
      <c r="D118" s="21"/>
      <c r="E118" s="21"/>
      <c r="F118" s="21"/>
      <c r="G118" s="21"/>
    </row>
    <row r="119" spans="3:17" x14ac:dyDescent="0.25">
      <c r="C119" s="21"/>
      <c r="D119" s="21"/>
      <c r="E119" s="21"/>
      <c r="F119" s="21"/>
      <c r="G119" s="21"/>
    </row>
    <row r="123" spans="3:17" x14ac:dyDescent="0.25">
      <c r="D123" t="s">
        <v>98</v>
      </c>
      <c r="E123">
        <v>-2527.3000000000002</v>
      </c>
      <c r="F123" s="245" t="s">
        <v>99</v>
      </c>
      <c r="O123" t="s">
        <v>98</v>
      </c>
      <c r="P123">
        <v>-2813.8</v>
      </c>
      <c r="Q123" s="245" t="s">
        <v>99</v>
      </c>
    </row>
    <row r="124" spans="3:17" x14ac:dyDescent="0.25">
      <c r="D124" t="s">
        <v>100</v>
      </c>
      <c r="E124">
        <v>4.7539999999999996</v>
      </c>
      <c r="F124" s="245" t="s">
        <v>101</v>
      </c>
      <c r="O124" t="s">
        <v>100</v>
      </c>
      <c r="P124">
        <v>5.5819000000000001</v>
      </c>
      <c r="Q124" s="245" t="s">
        <v>101</v>
      </c>
    </row>
    <row r="125" spans="3:17" x14ac:dyDescent="0.25">
      <c r="D125" t="s">
        <v>102</v>
      </c>
      <c r="E125">
        <v>8.3140000000000001</v>
      </c>
      <c r="O125" t="s">
        <v>102</v>
      </c>
      <c r="P125">
        <v>8.3140000000000001</v>
      </c>
    </row>
    <row r="128" spans="3:17" ht="18" x14ac:dyDescent="0.35">
      <c r="D128" s="56" t="s">
        <v>103</v>
      </c>
      <c r="E128" s="246">
        <f>2527.3*8.314</f>
        <v>21011.9722</v>
      </c>
      <c r="F128" s="56" t="s">
        <v>104</v>
      </c>
      <c r="O128" s="56" t="s">
        <v>103</v>
      </c>
      <c r="P128" s="246">
        <f>2813.8*8.314</f>
        <v>23393.933200000003</v>
      </c>
      <c r="Q128" s="56" t="s">
        <v>104</v>
      </c>
    </row>
    <row r="129" spans="4:17" x14ac:dyDescent="0.25">
      <c r="D129" s="56"/>
      <c r="E129" s="246">
        <f>E128/1000</f>
        <v>21.011972199999999</v>
      </c>
      <c r="F129" s="56" t="s">
        <v>105</v>
      </c>
      <c r="O129" s="56"/>
      <c r="P129" s="246">
        <f>P128/1000</f>
        <v>23.393933200000003</v>
      </c>
      <c r="Q129" s="56" t="s">
        <v>105</v>
      </c>
    </row>
    <row r="131" spans="4:17" x14ac:dyDescent="0.25">
      <c r="D131" s="56" t="s">
        <v>108</v>
      </c>
      <c r="E131" s="56">
        <f>EXP(E124)</f>
        <v>116.0475475737055</v>
      </c>
      <c r="O131" s="56" t="s">
        <v>108</v>
      </c>
      <c r="P131" s="56">
        <f>EXP(P124)</f>
        <v>265.57572059463422</v>
      </c>
    </row>
    <row r="133" spans="4:17" ht="18" x14ac:dyDescent="0.35">
      <c r="D133" s="56" t="s">
        <v>103</v>
      </c>
      <c r="E133" s="247" t="s">
        <v>106</v>
      </c>
      <c r="O133" s="56" t="s">
        <v>103</v>
      </c>
      <c r="P133" s="247" t="s">
        <v>107</v>
      </c>
    </row>
  </sheetData>
  <mergeCells count="2">
    <mergeCell ref="D84:F84"/>
    <mergeCell ref="G84:I8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53"/>
  <sheetViews>
    <sheetView topLeftCell="A4" zoomScale="150" zoomScaleNormal="150" workbookViewId="0">
      <selection activeCell="E17" sqref="E17"/>
    </sheetView>
  </sheetViews>
  <sheetFormatPr defaultRowHeight="15" x14ac:dyDescent="0.25"/>
  <cols>
    <col min="1" max="1" width="11.7109375" customWidth="1"/>
    <col min="3" max="3" width="12.140625" customWidth="1"/>
    <col min="4" max="5" width="15.5703125" customWidth="1"/>
    <col min="6" max="6" width="9.85546875" customWidth="1"/>
    <col min="7" max="7" width="18" customWidth="1"/>
    <col min="8" max="8" width="9.28515625" customWidth="1"/>
  </cols>
  <sheetData>
    <row r="4" spans="1:9" x14ac:dyDescent="0.25">
      <c r="A4" s="251">
        <v>44702</v>
      </c>
      <c r="B4">
        <v>2.2000000000000002</v>
      </c>
      <c r="C4" s="321" t="s">
        <v>119</v>
      </c>
      <c r="D4" s="321"/>
      <c r="E4" s="321"/>
      <c r="F4" s="321"/>
    </row>
    <row r="5" spans="1:9" ht="18" x14ac:dyDescent="0.35">
      <c r="C5" s="56" t="s">
        <v>118</v>
      </c>
      <c r="D5" s="56" t="s">
        <v>126</v>
      </c>
      <c r="E5" s="56" t="s">
        <v>127</v>
      </c>
      <c r="F5" s="56" t="s">
        <v>116</v>
      </c>
      <c r="G5" s="56" t="s">
        <v>116</v>
      </c>
      <c r="H5" s="56" t="s">
        <v>128</v>
      </c>
      <c r="I5" s="56" t="s">
        <v>129</v>
      </c>
    </row>
    <row r="6" spans="1:9" x14ac:dyDescent="0.25">
      <c r="B6">
        <v>2</v>
      </c>
      <c r="C6">
        <v>2</v>
      </c>
      <c r="D6">
        <v>2.1</v>
      </c>
      <c r="E6">
        <v>2.13</v>
      </c>
      <c r="F6">
        <f t="shared" ref="F6:F15" si="0">C6-D6</f>
        <v>-0.10000000000000009</v>
      </c>
      <c r="G6">
        <f>C6-E6</f>
        <v>-0.12999999999999989</v>
      </c>
      <c r="H6">
        <f>AVERAGE(F6:G6)</f>
        <v>-0.11499999999999999</v>
      </c>
      <c r="I6">
        <f>_xlfn.STDEV.S(F6:G6)</f>
        <v>2.121320343559624E-2</v>
      </c>
    </row>
    <row r="7" spans="1:9" x14ac:dyDescent="0.25">
      <c r="B7">
        <v>3</v>
      </c>
      <c r="C7">
        <v>3.05</v>
      </c>
      <c r="D7">
        <v>2.67</v>
      </c>
      <c r="E7">
        <v>2.79</v>
      </c>
      <c r="F7">
        <f t="shared" si="0"/>
        <v>0.37999999999999989</v>
      </c>
      <c r="G7">
        <f t="shared" ref="G7:G15" si="1">C7-E7</f>
        <v>0.25999999999999979</v>
      </c>
      <c r="H7">
        <f t="shared" ref="H7:H15" si="2">AVERAGE(F7:G7)</f>
        <v>0.31999999999999984</v>
      </c>
      <c r="I7">
        <f t="shared" ref="I7:I15" si="3">_xlfn.STDEV.S(F7:G7)</f>
        <v>8.4852813742385777E-2</v>
      </c>
    </row>
    <row r="8" spans="1:9" x14ac:dyDescent="0.25">
      <c r="B8">
        <v>4</v>
      </c>
      <c r="C8">
        <v>4.05</v>
      </c>
      <c r="D8">
        <v>2.65</v>
      </c>
      <c r="E8">
        <v>2.9</v>
      </c>
      <c r="F8">
        <f t="shared" si="0"/>
        <v>1.4</v>
      </c>
      <c r="G8">
        <f t="shared" si="1"/>
        <v>1.1499999999999999</v>
      </c>
      <c r="H8">
        <f t="shared" si="2"/>
        <v>1.2749999999999999</v>
      </c>
      <c r="I8">
        <f t="shared" si="3"/>
        <v>0.17677669529663689</v>
      </c>
    </row>
    <row r="9" spans="1:9" x14ac:dyDescent="0.25">
      <c r="B9">
        <v>5</v>
      </c>
      <c r="C9">
        <v>4.8899999999999997</v>
      </c>
      <c r="D9">
        <v>2.65</v>
      </c>
      <c r="E9">
        <v>2.91</v>
      </c>
      <c r="F9">
        <f t="shared" si="0"/>
        <v>2.2399999999999998</v>
      </c>
      <c r="G9">
        <f t="shared" si="1"/>
        <v>1.9799999999999995</v>
      </c>
      <c r="H9">
        <f t="shared" si="2"/>
        <v>2.1099999999999994</v>
      </c>
      <c r="I9">
        <f t="shared" si="3"/>
        <v>0.18384776310850251</v>
      </c>
    </row>
    <row r="10" spans="1:9" x14ac:dyDescent="0.25">
      <c r="B10">
        <v>6</v>
      </c>
      <c r="C10">
        <v>5.9</v>
      </c>
      <c r="D10">
        <v>2.76</v>
      </c>
      <c r="E10">
        <v>2.87</v>
      </c>
      <c r="F10">
        <f t="shared" si="0"/>
        <v>3.1400000000000006</v>
      </c>
      <c r="G10">
        <f t="shared" si="1"/>
        <v>3.0300000000000002</v>
      </c>
      <c r="H10">
        <f t="shared" si="2"/>
        <v>3.0850000000000004</v>
      </c>
      <c r="I10">
        <f t="shared" si="3"/>
        <v>7.7781745930520452E-2</v>
      </c>
    </row>
    <row r="11" spans="1:9" x14ac:dyDescent="0.25">
      <c r="B11">
        <v>7</v>
      </c>
      <c r="C11">
        <v>7.06</v>
      </c>
      <c r="D11">
        <v>2.89</v>
      </c>
      <c r="E11">
        <v>2.93</v>
      </c>
      <c r="F11">
        <f t="shared" si="0"/>
        <v>4.17</v>
      </c>
      <c r="G11">
        <f t="shared" si="1"/>
        <v>4.129999999999999</v>
      </c>
      <c r="H11">
        <f t="shared" si="2"/>
        <v>4.1499999999999995</v>
      </c>
      <c r="I11">
        <f t="shared" si="3"/>
        <v>2.8284271247462554E-2</v>
      </c>
    </row>
    <row r="12" spans="1:9" x14ac:dyDescent="0.25">
      <c r="B12">
        <v>8</v>
      </c>
      <c r="C12">
        <v>8.08</v>
      </c>
      <c r="D12">
        <v>2.69</v>
      </c>
      <c r="E12">
        <v>2.88</v>
      </c>
      <c r="F12">
        <f t="shared" si="0"/>
        <v>5.3900000000000006</v>
      </c>
      <c r="G12">
        <f t="shared" si="1"/>
        <v>5.2</v>
      </c>
      <c r="H12">
        <f t="shared" si="2"/>
        <v>5.2949999999999999</v>
      </c>
      <c r="I12">
        <f t="shared" si="3"/>
        <v>0.1343502884254443</v>
      </c>
    </row>
    <row r="13" spans="1:9" x14ac:dyDescent="0.25">
      <c r="B13">
        <v>9</v>
      </c>
      <c r="C13">
        <v>8.9</v>
      </c>
      <c r="D13">
        <v>2.65</v>
      </c>
      <c r="E13">
        <v>2.92</v>
      </c>
      <c r="F13">
        <f t="shared" si="0"/>
        <v>6.25</v>
      </c>
      <c r="G13">
        <f t="shared" si="1"/>
        <v>5.98</v>
      </c>
      <c r="H13">
        <f t="shared" si="2"/>
        <v>6.1150000000000002</v>
      </c>
      <c r="I13">
        <f t="shared" si="3"/>
        <v>0.19091883092036754</v>
      </c>
    </row>
    <row r="14" spans="1:9" x14ac:dyDescent="0.25">
      <c r="B14">
        <v>10</v>
      </c>
      <c r="C14">
        <v>10.050000000000001</v>
      </c>
      <c r="D14">
        <v>2.67</v>
      </c>
      <c r="E14">
        <v>2.89</v>
      </c>
      <c r="F14">
        <f t="shared" si="0"/>
        <v>7.3800000000000008</v>
      </c>
      <c r="G14">
        <f t="shared" si="1"/>
        <v>7.16</v>
      </c>
      <c r="H14">
        <f t="shared" si="2"/>
        <v>7.2700000000000005</v>
      </c>
      <c r="I14">
        <f t="shared" si="3"/>
        <v>0.1555634918610409</v>
      </c>
    </row>
    <row r="15" spans="1:9" x14ac:dyDescent="0.25">
      <c r="B15">
        <v>11</v>
      </c>
      <c r="C15">
        <v>10.93</v>
      </c>
      <c r="D15">
        <v>2.86</v>
      </c>
      <c r="E15">
        <v>3.14</v>
      </c>
      <c r="F15">
        <f t="shared" si="0"/>
        <v>8.07</v>
      </c>
      <c r="G15">
        <f t="shared" si="1"/>
        <v>7.7899999999999991</v>
      </c>
      <c r="H15">
        <f t="shared" si="2"/>
        <v>7.93</v>
      </c>
      <c r="I15">
        <f t="shared" si="3"/>
        <v>0.1979898987322341</v>
      </c>
    </row>
    <row r="17" spans="2:9" ht="18" x14ac:dyDescent="0.35">
      <c r="B17" s="320" t="s">
        <v>113</v>
      </c>
      <c r="C17" s="320"/>
      <c r="D17" s="246">
        <v>2.37</v>
      </c>
      <c r="E17" s="250"/>
    </row>
    <row r="22" spans="2:9" x14ac:dyDescent="0.25">
      <c r="C22" s="321" t="s">
        <v>119</v>
      </c>
      <c r="D22" s="321"/>
      <c r="E22" s="321"/>
      <c r="F22" s="321"/>
    </row>
    <row r="23" spans="2:9" ht="18" x14ac:dyDescent="0.35">
      <c r="C23" s="56" t="s">
        <v>118</v>
      </c>
      <c r="D23" s="56" t="s">
        <v>126</v>
      </c>
      <c r="E23" s="56" t="s">
        <v>127</v>
      </c>
      <c r="F23" s="56" t="s">
        <v>116</v>
      </c>
      <c r="G23" s="56" t="s">
        <v>116</v>
      </c>
      <c r="H23" s="56" t="s">
        <v>128</v>
      </c>
      <c r="I23" s="56" t="s">
        <v>129</v>
      </c>
    </row>
    <row r="24" spans="2:9" x14ac:dyDescent="0.25">
      <c r="B24">
        <v>2</v>
      </c>
      <c r="C24">
        <v>2</v>
      </c>
      <c r="D24">
        <v>2.16</v>
      </c>
      <c r="E24">
        <v>2.0299999999999998</v>
      </c>
      <c r="F24">
        <f t="shared" ref="F24:F33" si="4">C24-D24</f>
        <v>-0.16000000000000014</v>
      </c>
      <c r="G24">
        <f>C24-E24</f>
        <v>-2.9999999999999805E-2</v>
      </c>
      <c r="H24">
        <f>AVERAGE(F24:G24)</f>
        <v>-9.4999999999999973E-2</v>
      </c>
      <c r="I24">
        <f>_xlfn.STDEV.S(F24:G24)</f>
        <v>9.1923881554251421E-2</v>
      </c>
    </row>
    <row r="25" spans="2:9" x14ac:dyDescent="0.25">
      <c r="B25">
        <v>3</v>
      </c>
      <c r="C25">
        <v>3.05</v>
      </c>
      <c r="D25">
        <v>2.71</v>
      </c>
      <c r="E25">
        <v>2.64</v>
      </c>
      <c r="F25">
        <f t="shared" si="4"/>
        <v>0.33999999999999986</v>
      </c>
      <c r="G25">
        <f t="shared" ref="G25:G33" si="5">C25-E25</f>
        <v>0.4099999999999997</v>
      </c>
      <c r="H25">
        <f t="shared" ref="H25:H33" si="6">AVERAGE(F25:G25)</f>
        <v>0.37499999999999978</v>
      </c>
      <c r="I25">
        <f t="shared" ref="I25:I33" si="7">_xlfn.STDEV.S(F25:G25)</f>
        <v>4.9497474683058214E-2</v>
      </c>
    </row>
    <row r="26" spans="2:9" x14ac:dyDescent="0.25">
      <c r="B26">
        <v>4</v>
      </c>
      <c r="C26">
        <v>4.05</v>
      </c>
      <c r="D26">
        <v>2.85</v>
      </c>
      <c r="E26">
        <v>2.73</v>
      </c>
      <c r="F26">
        <f t="shared" si="4"/>
        <v>1.1999999999999997</v>
      </c>
      <c r="G26">
        <f t="shared" si="5"/>
        <v>1.3199999999999998</v>
      </c>
      <c r="H26">
        <f t="shared" si="6"/>
        <v>1.2599999999999998</v>
      </c>
      <c r="I26">
        <f t="shared" si="7"/>
        <v>8.4852813742385777E-2</v>
      </c>
    </row>
    <row r="27" spans="2:9" x14ac:dyDescent="0.25">
      <c r="B27">
        <v>5</v>
      </c>
      <c r="C27">
        <v>4.8899999999999997</v>
      </c>
      <c r="D27">
        <v>2.95</v>
      </c>
      <c r="E27">
        <v>2.67</v>
      </c>
      <c r="F27">
        <f t="shared" si="4"/>
        <v>1.9399999999999995</v>
      </c>
      <c r="G27">
        <f t="shared" si="5"/>
        <v>2.2199999999999998</v>
      </c>
      <c r="H27">
        <f t="shared" si="6"/>
        <v>2.0799999999999996</v>
      </c>
      <c r="I27">
        <f t="shared" si="7"/>
        <v>0.19798989873223347</v>
      </c>
    </row>
    <row r="28" spans="2:9" x14ac:dyDescent="0.25">
      <c r="B28">
        <v>6</v>
      </c>
      <c r="C28">
        <v>5.9</v>
      </c>
      <c r="D28">
        <v>2.9</v>
      </c>
      <c r="E28">
        <v>2.73</v>
      </c>
      <c r="F28">
        <f t="shared" si="4"/>
        <v>3.0000000000000004</v>
      </c>
      <c r="G28">
        <f t="shared" si="5"/>
        <v>3.1700000000000004</v>
      </c>
      <c r="H28">
        <f t="shared" si="6"/>
        <v>3.0850000000000004</v>
      </c>
      <c r="I28">
        <f t="shared" si="7"/>
        <v>0.12020815280171303</v>
      </c>
    </row>
    <row r="29" spans="2:9" x14ac:dyDescent="0.25">
      <c r="B29">
        <v>7</v>
      </c>
      <c r="C29">
        <v>7.06</v>
      </c>
      <c r="D29">
        <v>2.89</v>
      </c>
      <c r="E29">
        <v>2.71</v>
      </c>
      <c r="F29">
        <f t="shared" si="4"/>
        <v>4.17</v>
      </c>
      <c r="G29">
        <f t="shared" si="5"/>
        <v>4.3499999999999996</v>
      </c>
      <c r="H29">
        <f t="shared" si="6"/>
        <v>4.26</v>
      </c>
      <c r="I29">
        <f t="shared" si="7"/>
        <v>0.12727922061357835</v>
      </c>
    </row>
    <row r="30" spans="2:9" x14ac:dyDescent="0.25">
      <c r="B30">
        <v>8</v>
      </c>
      <c r="C30">
        <v>8.08</v>
      </c>
      <c r="D30">
        <v>2.95</v>
      </c>
      <c r="E30">
        <v>2.74</v>
      </c>
      <c r="F30">
        <f t="shared" si="4"/>
        <v>5.13</v>
      </c>
      <c r="G30">
        <f t="shared" si="5"/>
        <v>5.34</v>
      </c>
      <c r="H30">
        <f t="shared" si="6"/>
        <v>5.2349999999999994</v>
      </c>
      <c r="I30">
        <f t="shared" si="7"/>
        <v>0.14849242404917495</v>
      </c>
    </row>
    <row r="31" spans="2:9" x14ac:dyDescent="0.25">
      <c r="B31">
        <v>9</v>
      </c>
      <c r="C31">
        <v>8.9</v>
      </c>
      <c r="D31">
        <v>2.92</v>
      </c>
      <c r="E31">
        <v>2.71</v>
      </c>
      <c r="F31">
        <f t="shared" si="4"/>
        <v>5.98</v>
      </c>
      <c r="G31">
        <f t="shared" si="5"/>
        <v>6.19</v>
      </c>
      <c r="H31">
        <f t="shared" si="6"/>
        <v>6.0850000000000009</v>
      </c>
      <c r="I31">
        <f t="shared" si="7"/>
        <v>0.14849242404917495</v>
      </c>
    </row>
    <row r="32" spans="2:9" x14ac:dyDescent="0.25">
      <c r="B32">
        <v>10</v>
      </c>
      <c r="C32">
        <v>10.050000000000001</v>
      </c>
      <c r="D32">
        <v>2.98</v>
      </c>
      <c r="E32">
        <v>2.77</v>
      </c>
      <c r="F32">
        <f t="shared" si="4"/>
        <v>7.07</v>
      </c>
      <c r="G32">
        <f t="shared" si="5"/>
        <v>7.2800000000000011</v>
      </c>
      <c r="H32">
        <f t="shared" si="6"/>
        <v>7.1750000000000007</v>
      </c>
      <c r="I32">
        <f t="shared" si="7"/>
        <v>0.14849242404917559</v>
      </c>
    </row>
    <row r="33" spans="1:9" x14ac:dyDescent="0.25">
      <c r="B33">
        <v>11</v>
      </c>
      <c r="C33">
        <v>10.93</v>
      </c>
      <c r="D33">
        <v>3.07</v>
      </c>
      <c r="E33">
        <v>2.86</v>
      </c>
      <c r="F33">
        <f t="shared" si="4"/>
        <v>7.8599999999999994</v>
      </c>
      <c r="G33">
        <f t="shared" si="5"/>
        <v>8.07</v>
      </c>
      <c r="H33">
        <f t="shared" si="6"/>
        <v>7.9649999999999999</v>
      </c>
      <c r="I33">
        <f t="shared" si="7"/>
        <v>0.14849242404917559</v>
      </c>
    </row>
    <row r="35" spans="1:9" ht="18" x14ac:dyDescent="0.35">
      <c r="B35" s="320" t="s">
        <v>113</v>
      </c>
      <c r="C35" s="320"/>
      <c r="D35" s="246">
        <v>2.37</v>
      </c>
      <c r="E35" s="250"/>
    </row>
    <row r="38" spans="1:9" ht="15.75" x14ac:dyDescent="0.25">
      <c r="B38" s="249"/>
    </row>
    <row r="40" spans="1:9" x14ac:dyDescent="0.25">
      <c r="A40" s="251">
        <v>44702</v>
      </c>
      <c r="C40" s="321" t="s">
        <v>119</v>
      </c>
      <c r="D40" s="321"/>
      <c r="E40" s="321"/>
      <c r="F40" s="321"/>
    </row>
    <row r="41" spans="1:9" ht="18" x14ac:dyDescent="0.35">
      <c r="C41" s="56" t="s">
        <v>118</v>
      </c>
      <c r="D41" s="56" t="s">
        <v>117</v>
      </c>
      <c r="E41" s="56"/>
      <c r="F41" s="56" t="s">
        <v>116</v>
      </c>
      <c r="G41" s="56" t="s">
        <v>115</v>
      </c>
      <c r="H41" s="56" t="s">
        <v>114</v>
      </c>
    </row>
    <row r="42" spans="1:9" x14ac:dyDescent="0.25">
      <c r="B42">
        <v>2</v>
      </c>
      <c r="C42">
        <v>2</v>
      </c>
      <c r="D42">
        <v>2.1</v>
      </c>
      <c r="F42">
        <f t="shared" ref="F42:F51" si="8">C42-D42</f>
        <v>-0.10000000000000009</v>
      </c>
      <c r="G42">
        <v>3.77</v>
      </c>
      <c r="H42">
        <f t="shared" ref="H42:H51" si="9">C42-G42</f>
        <v>-1.77</v>
      </c>
    </row>
    <row r="43" spans="1:9" x14ac:dyDescent="0.25">
      <c r="B43">
        <v>3</v>
      </c>
      <c r="C43">
        <v>3.04</v>
      </c>
      <c r="D43">
        <v>2.67</v>
      </c>
      <c r="F43">
        <f t="shared" si="8"/>
        <v>0.37000000000000011</v>
      </c>
      <c r="G43">
        <v>3.38</v>
      </c>
      <c r="H43">
        <f t="shared" si="9"/>
        <v>-0.33999999999999986</v>
      </c>
    </row>
    <row r="44" spans="1:9" x14ac:dyDescent="0.25">
      <c r="B44">
        <v>4</v>
      </c>
      <c r="C44">
        <v>4.0599999999999996</v>
      </c>
      <c r="D44">
        <v>2.65</v>
      </c>
      <c r="F44">
        <f t="shared" si="8"/>
        <v>1.4099999999999997</v>
      </c>
      <c r="G44">
        <v>4</v>
      </c>
      <c r="H44">
        <f t="shared" si="9"/>
        <v>5.9999999999999609E-2</v>
      </c>
    </row>
    <row r="45" spans="1:9" x14ac:dyDescent="0.25">
      <c r="B45">
        <v>5</v>
      </c>
      <c r="C45">
        <v>5.0999999999999996</v>
      </c>
      <c r="D45">
        <v>2.65</v>
      </c>
      <c r="F45">
        <f t="shared" si="8"/>
        <v>2.4499999999999997</v>
      </c>
      <c r="G45">
        <v>4.08</v>
      </c>
      <c r="H45">
        <f t="shared" si="9"/>
        <v>1.0199999999999996</v>
      </c>
    </row>
    <row r="46" spans="1:9" x14ac:dyDescent="0.25">
      <c r="B46">
        <v>6</v>
      </c>
      <c r="C46">
        <v>5.99</v>
      </c>
      <c r="D46">
        <v>2.67</v>
      </c>
      <c r="F46">
        <f t="shared" si="8"/>
        <v>3.3200000000000003</v>
      </c>
      <c r="G46">
        <v>4.09</v>
      </c>
      <c r="H46">
        <f t="shared" si="9"/>
        <v>1.9000000000000004</v>
      </c>
    </row>
    <row r="47" spans="1:9" x14ac:dyDescent="0.25">
      <c r="B47">
        <v>7</v>
      </c>
      <c r="C47">
        <v>7.1</v>
      </c>
      <c r="D47">
        <v>2.86</v>
      </c>
      <c r="F47">
        <f t="shared" si="8"/>
        <v>4.24</v>
      </c>
      <c r="G47">
        <v>6.7</v>
      </c>
      <c r="H47">
        <f t="shared" si="9"/>
        <v>0.39999999999999947</v>
      </c>
    </row>
    <row r="48" spans="1:9" x14ac:dyDescent="0.25">
      <c r="B48">
        <v>8</v>
      </c>
      <c r="C48">
        <v>7.91</v>
      </c>
      <c r="D48">
        <v>2.69</v>
      </c>
      <c r="F48">
        <f t="shared" si="8"/>
        <v>5.2200000000000006</v>
      </c>
      <c r="G48">
        <v>4.0999999999999996</v>
      </c>
      <c r="H48">
        <f t="shared" si="9"/>
        <v>3.8100000000000005</v>
      </c>
    </row>
    <row r="49" spans="2:8" x14ac:dyDescent="0.25">
      <c r="B49">
        <v>9</v>
      </c>
      <c r="C49">
        <v>9.01</v>
      </c>
      <c r="D49">
        <v>2.64</v>
      </c>
      <c r="F49">
        <f t="shared" si="8"/>
        <v>6.3699999999999992</v>
      </c>
      <c r="G49">
        <v>4.59</v>
      </c>
      <c r="H49">
        <f t="shared" si="9"/>
        <v>4.42</v>
      </c>
    </row>
    <row r="50" spans="2:8" x14ac:dyDescent="0.25">
      <c r="B50">
        <v>10</v>
      </c>
      <c r="C50">
        <v>9.98</v>
      </c>
      <c r="D50">
        <v>2.66</v>
      </c>
      <c r="F50">
        <f t="shared" si="8"/>
        <v>7.32</v>
      </c>
      <c r="G50">
        <v>7.24</v>
      </c>
      <c r="H50">
        <f t="shared" si="9"/>
        <v>2.74</v>
      </c>
    </row>
    <row r="51" spans="2:8" x14ac:dyDescent="0.25">
      <c r="B51">
        <v>11</v>
      </c>
      <c r="C51">
        <v>10.97</v>
      </c>
      <c r="D51">
        <v>2.85</v>
      </c>
      <c r="F51">
        <f t="shared" si="8"/>
        <v>8.120000000000001</v>
      </c>
      <c r="G51">
        <v>9.84</v>
      </c>
      <c r="H51">
        <f t="shared" si="9"/>
        <v>1.1300000000000008</v>
      </c>
    </row>
    <row r="53" spans="2:8" ht="18" x14ac:dyDescent="0.35">
      <c r="B53" s="320" t="s">
        <v>113</v>
      </c>
      <c r="C53" s="320"/>
      <c r="D53" s="250">
        <v>2.37</v>
      </c>
      <c r="E53" s="250"/>
    </row>
  </sheetData>
  <mergeCells count="6">
    <mergeCell ref="B53:C53"/>
    <mergeCell ref="C4:F4"/>
    <mergeCell ref="B17:C17"/>
    <mergeCell ref="C22:F22"/>
    <mergeCell ref="B35:C35"/>
    <mergeCell ref="C40:F4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W37"/>
  <sheetViews>
    <sheetView tabSelected="1" topLeftCell="A8" workbookViewId="0">
      <selection activeCell="H25" sqref="H25"/>
    </sheetView>
  </sheetViews>
  <sheetFormatPr defaultRowHeight="15" x14ac:dyDescent="0.25"/>
  <sheetData>
    <row r="3" spans="3:20" x14ac:dyDescent="0.25">
      <c r="C3" s="4"/>
      <c r="D3" s="9"/>
      <c r="E3" s="6" t="s">
        <v>8</v>
      </c>
      <c r="F3" s="6" t="s">
        <v>7</v>
      </c>
      <c r="G3" s="6" t="s">
        <v>8</v>
      </c>
      <c r="H3" s="6" t="s">
        <v>7</v>
      </c>
      <c r="I3" s="6" t="s">
        <v>8</v>
      </c>
      <c r="J3" s="6" t="s">
        <v>7</v>
      </c>
      <c r="K3" s="6" t="s">
        <v>8</v>
      </c>
      <c r="L3" s="6" t="s">
        <v>7</v>
      </c>
      <c r="M3" s="6" t="s">
        <v>8</v>
      </c>
      <c r="N3" s="6" t="s">
        <v>7</v>
      </c>
      <c r="O3" s="6" t="s">
        <v>8</v>
      </c>
      <c r="P3" s="6" t="s">
        <v>7</v>
      </c>
      <c r="Q3" s="6" t="s">
        <v>8</v>
      </c>
      <c r="R3" s="6" t="s">
        <v>7</v>
      </c>
      <c r="S3" s="6" t="s">
        <v>8</v>
      </c>
      <c r="T3" s="6" t="s">
        <v>7</v>
      </c>
    </row>
    <row r="4" spans="3:20" ht="18" x14ac:dyDescent="0.35">
      <c r="C4" s="3" t="s">
        <v>0</v>
      </c>
      <c r="D4" s="6" t="s">
        <v>1</v>
      </c>
      <c r="E4" s="254" t="s">
        <v>2</v>
      </c>
      <c r="F4" s="254" t="s">
        <v>2</v>
      </c>
      <c r="G4" s="6" t="s">
        <v>3</v>
      </c>
      <c r="H4" s="6" t="s">
        <v>3</v>
      </c>
      <c r="I4" s="6" t="s">
        <v>4</v>
      </c>
      <c r="J4" s="6" t="s">
        <v>4</v>
      </c>
      <c r="K4" s="6" t="s">
        <v>10</v>
      </c>
      <c r="L4" s="6" t="s">
        <v>10</v>
      </c>
      <c r="M4" s="6" t="s">
        <v>9</v>
      </c>
      <c r="N4" s="6" t="s">
        <v>9</v>
      </c>
      <c r="O4" s="6" t="s">
        <v>5</v>
      </c>
      <c r="P4" s="6" t="s">
        <v>5</v>
      </c>
      <c r="Q4" s="6" t="s">
        <v>11</v>
      </c>
      <c r="R4" s="6" t="s">
        <v>11</v>
      </c>
      <c r="S4" s="6" t="s">
        <v>9</v>
      </c>
      <c r="T4" s="6" t="s">
        <v>9</v>
      </c>
    </row>
    <row r="5" spans="3:20" x14ac:dyDescent="0.25">
      <c r="C5" s="2" t="s">
        <v>131</v>
      </c>
      <c r="D5" s="10">
        <v>50</v>
      </c>
      <c r="E5" s="10">
        <v>7.1999999999999995E-2</v>
      </c>
      <c r="F5" s="10">
        <v>0.08</v>
      </c>
      <c r="G5" s="10">
        <f t="shared" ref="G5:H7" si="0">(E5-0.0102)/0.0007</f>
        <v>88.285714285714278</v>
      </c>
      <c r="H5" s="10">
        <f t="shared" si="0"/>
        <v>99.714285714285722</v>
      </c>
      <c r="I5" s="10">
        <f t="shared" ref="I5:J7" si="1">((150-G5)/150)*100</f>
        <v>41.142857142857146</v>
      </c>
      <c r="J5" s="10">
        <f t="shared" si="1"/>
        <v>33.523809523809518</v>
      </c>
      <c r="K5" s="10">
        <f>AVERAGE(I5:I7)</f>
        <v>40.507936507936513</v>
      </c>
      <c r="L5" s="10">
        <f>AVERAGE(J5:J7)</f>
        <v>31.61904761904762</v>
      </c>
      <c r="M5" s="15">
        <f>_xlfn.STDEV.S(I5:I7)</f>
        <v>1.0997147984564302</v>
      </c>
      <c r="N5" s="12">
        <f>_xlfn.STDEV.S(J5:J7)</f>
        <v>1.9047619047619015</v>
      </c>
      <c r="O5" s="10">
        <f>((150-G5)/1)*0.05</f>
        <v>3.0857142857142863</v>
      </c>
      <c r="P5" s="10">
        <f>((150-H5)/1)*0.05</f>
        <v>2.5142857142857142</v>
      </c>
      <c r="Q5" s="10">
        <f>AVERAGE(O5:O7)</f>
        <v>3.0380952380952384</v>
      </c>
      <c r="R5" s="10">
        <f>AVERAGE(P5:P7)</f>
        <v>2.3714285714285714</v>
      </c>
      <c r="S5" s="15">
        <f>_xlfn.STDEV.S(O5:O7)</f>
        <v>8.2478609884232459E-2</v>
      </c>
      <c r="T5" s="15">
        <f>_xlfn.STDEV.S(P5:P7)</f>
        <v>0.14285714285714279</v>
      </c>
    </row>
    <row r="6" spans="3:20" ht="18" x14ac:dyDescent="0.35">
      <c r="C6" s="2" t="s">
        <v>19</v>
      </c>
      <c r="D6" s="10"/>
      <c r="E6" s="10">
        <v>7.1999999999999995E-2</v>
      </c>
      <c r="F6" s="10">
        <v>8.2000000000000003E-2</v>
      </c>
      <c r="G6" s="10">
        <f t="shared" si="0"/>
        <v>88.285714285714278</v>
      </c>
      <c r="H6" s="10">
        <f t="shared" si="0"/>
        <v>102.57142857142857</v>
      </c>
      <c r="I6" s="10">
        <f t="shared" si="1"/>
        <v>41.142857142857146</v>
      </c>
      <c r="J6" s="10">
        <f t="shared" si="1"/>
        <v>31.61904761904762</v>
      </c>
      <c r="K6" s="10"/>
      <c r="L6" s="10"/>
      <c r="M6" s="10"/>
      <c r="N6" s="9"/>
      <c r="O6" s="10">
        <f t="shared" ref="O6:P7" si="2">((150-G6)/1)*0.05</f>
        <v>3.0857142857142863</v>
      </c>
      <c r="P6" s="10">
        <f t="shared" si="2"/>
        <v>2.3714285714285714</v>
      </c>
      <c r="Q6" s="10"/>
      <c r="R6" s="10"/>
      <c r="S6" s="10"/>
      <c r="T6" s="9"/>
    </row>
    <row r="7" spans="3:20" x14ac:dyDescent="0.25">
      <c r="C7" s="5"/>
      <c r="D7" s="10"/>
      <c r="E7" s="10">
        <v>7.3999999999999996E-2</v>
      </c>
      <c r="F7" s="10">
        <v>8.4000000000000005E-2</v>
      </c>
      <c r="G7" s="10">
        <f t="shared" si="0"/>
        <v>91.142857142857139</v>
      </c>
      <c r="H7" s="10">
        <f t="shared" si="0"/>
        <v>105.42857142857143</v>
      </c>
      <c r="I7" s="10">
        <f t="shared" si="1"/>
        <v>39.238095238095241</v>
      </c>
      <c r="J7" s="10">
        <f t="shared" si="1"/>
        <v>29.714285714285715</v>
      </c>
      <c r="K7" s="10"/>
      <c r="L7" s="10"/>
      <c r="M7" s="10"/>
      <c r="N7" s="9"/>
      <c r="O7" s="10">
        <f t="shared" si="2"/>
        <v>2.9428571428571431</v>
      </c>
      <c r="P7" s="10">
        <f t="shared" si="2"/>
        <v>2.2285714285714286</v>
      </c>
      <c r="Q7" s="10"/>
      <c r="R7" s="10"/>
      <c r="S7" s="10"/>
      <c r="T7" s="9"/>
    </row>
    <row r="8" spans="3:20" x14ac:dyDescent="0.25">
      <c r="C8" s="18"/>
      <c r="D8" s="21"/>
      <c r="E8" s="21"/>
      <c r="F8" s="21"/>
      <c r="G8" s="21"/>
      <c r="H8" s="18"/>
      <c r="I8" s="21"/>
      <c r="J8" s="18"/>
      <c r="K8" s="18"/>
      <c r="L8" s="18"/>
      <c r="M8" s="21"/>
      <c r="N8" s="18"/>
      <c r="O8" s="21"/>
      <c r="P8" s="18"/>
      <c r="Q8" s="18"/>
      <c r="R8" s="18"/>
      <c r="S8" s="21"/>
      <c r="T8" s="18"/>
    </row>
    <row r="9" spans="3:20" x14ac:dyDescent="0.25">
      <c r="C9" s="18"/>
      <c r="D9" s="21"/>
      <c r="E9" s="21"/>
      <c r="F9" s="21"/>
      <c r="G9" s="21"/>
      <c r="H9" s="21"/>
      <c r="I9" s="21"/>
      <c r="J9" s="21"/>
      <c r="K9" s="21"/>
      <c r="L9" s="21"/>
      <c r="M9" s="18"/>
      <c r="N9" s="18"/>
      <c r="O9" s="21"/>
      <c r="P9" s="21"/>
      <c r="Q9" s="21"/>
      <c r="R9" s="21"/>
      <c r="S9" s="18"/>
      <c r="T9" s="18"/>
    </row>
    <row r="10" spans="3:20" x14ac:dyDescent="0.25">
      <c r="C10" s="4"/>
      <c r="D10" s="9"/>
      <c r="E10" s="6" t="s">
        <v>8</v>
      </c>
      <c r="F10" s="6" t="s">
        <v>7</v>
      </c>
      <c r="G10" s="6" t="s">
        <v>8</v>
      </c>
      <c r="H10" s="6" t="s">
        <v>7</v>
      </c>
      <c r="I10" s="6" t="s">
        <v>8</v>
      </c>
      <c r="J10" s="6" t="s">
        <v>7</v>
      </c>
      <c r="K10" s="6" t="s">
        <v>8</v>
      </c>
      <c r="L10" s="6" t="s">
        <v>7</v>
      </c>
      <c r="M10" s="6" t="s">
        <v>8</v>
      </c>
      <c r="N10" s="6" t="s">
        <v>7</v>
      </c>
      <c r="O10" s="6" t="s">
        <v>8</v>
      </c>
      <c r="P10" s="6" t="s">
        <v>7</v>
      </c>
      <c r="Q10" s="6" t="s">
        <v>8</v>
      </c>
      <c r="R10" s="6" t="s">
        <v>7</v>
      </c>
      <c r="S10" s="6" t="s">
        <v>8</v>
      </c>
      <c r="T10" s="6" t="s">
        <v>7</v>
      </c>
    </row>
    <row r="11" spans="3:20" ht="18" x14ac:dyDescent="0.35">
      <c r="C11" s="3" t="s">
        <v>0</v>
      </c>
      <c r="D11" s="6" t="s">
        <v>1</v>
      </c>
      <c r="E11" s="254" t="s">
        <v>2</v>
      </c>
      <c r="F11" s="254" t="s">
        <v>2</v>
      </c>
      <c r="G11" s="6" t="s">
        <v>3</v>
      </c>
      <c r="H11" s="6" t="s">
        <v>3</v>
      </c>
      <c r="I11" s="6" t="s">
        <v>4</v>
      </c>
      <c r="J11" s="6" t="s">
        <v>4</v>
      </c>
      <c r="K11" s="6" t="s">
        <v>10</v>
      </c>
      <c r="L11" s="6" t="s">
        <v>10</v>
      </c>
      <c r="M11" s="6" t="s">
        <v>9</v>
      </c>
      <c r="N11" s="6" t="s">
        <v>9</v>
      </c>
      <c r="O11" s="6" t="s">
        <v>5</v>
      </c>
      <c r="P11" s="6" t="s">
        <v>5</v>
      </c>
      <c r="Q11" s="6" t="s">
        <v>11</v>
      </c>
      <c r="R11" s="6" t="s">
        <v>11</v>
      </c>
      <c r="S11" s="6" t="s">
        <v>9</v>
      </c>
      <c r="T11" s="6" t="s">
        <v>9</v>
      </c>
    </row>
    <row r="12" spans="3:20" x14ac:dyDescent="0.25">
      <c r="C12" s="2" t="s">
        <v>132</v>
      </c>
      <c r="D12" s="10">
        <v>50</v>
      </c>
      <c r="E12" s="10">
        <v>6.8000000000000005E-2</v>
      </c>
      <c r="F12" s="10">
        <v>0.08</v>
      </c>
      <c r="G12" s="10">
        <f t="shared" ref="G12:G14" si="3">(E12-0.0102)/0.0007</f>
        <v>82.571428571428584</v>
      </c>
      <c r="H12" s="10">
        <f t="shared" ref="H12:H14" si="4">(F12-0.0102)/0.0007</f>
        <v>99.714285714285722</v>
      </c>
      <c r="I12" s="10">
        <f t="shared" ref="I12:I14" si="5">((150-G12)/150)*100</f>
        <v>44.952380952380942</v>
      </c>
      <c r="J12" s="10">
        <f t="shared" ref="J12:J14" si="6">((150-H12)/150)*100</f>
        <v>33.523809523809518</v>
      </c>
      <c r="K12" s="10">
        <f>AVERAGE(I12:I14)</f>
        <v>47.492063492063494</v>
      </c>
      <c r="L12" s="10">
        <f>AVERAGE(J12:J14)</f>
        <v>35.428571428571423</v>
      </c>
      <c r="M12" s="15">
        <f>_xlfn.STDEV.S(I12:I14)</f>
        <v>2.9095718698132389</v>
      </c>
      <c r="N12" s="12">
        <f>_xlfn.STDEV.S(J12:J14)</f>
        <v>1.9047619047619084</v>
      </c>
      <c r="O12" s="10">
        <f>((150-G12)/1)*0.05</f>
        <v>3.371428571428571</v>
      </c>
      <c r="P12" s="10">
        <f>((150-H12)/1)*0.05</f>
        <v>2.5142857142857142</v>
      </c>
      <c r="Q12" s="10">
        <f>AVERAGE(O12:O14)</f>
        <v>3.5619047619047617</v>
      </c>
      <c r="R12" s="10">
        <f>AVERAGE(P12:P14)</f>
        <v>2.657142857142857</v>
      </c>
      <c r="S12" s="15">
        <f>_xlfn.STDEV.S(O12:O14)</f>
        <v>0.21821789023599272</v>
      </c>
      <c r="T12" s="15">
        <f>_xlfn.STDEV.S(P12:P14)</f>
        <v>0.14285714285714302</v>
      </c>
    </row>
    <row r="13" spans="3:20" ht="18" x14ac:dyDescent="0.35">
      <c r="C13" s="2" t="s">
        <v>19</v>
      </c>
      <c r="D13" s="10"/>
      <c r="E13" s="10">
        <v>6.6000000000000003E-2</v>
      </c>
      <c r="F13" s="10">
        <v>7.8E-2</v>
      </c>
      <c r="G13" s="10">
        <f t="shared" si="3"/>
        <v>79.714285714285722</v>
      </c>
      <c r="H13" s="10">
        <f t="shared" si="4"/>
        <v>96.857142857142861</v>
      </c>
      <c r="I13" s="10">
        <f t="shared" si="5"/>
        <v>46.857142857142854</v>
      </c>
      <c r="J13" s="10">
        <f t="shared" si="6"/>
        <v>35.428571428571423</v>
      </c>
      <c r="K13" s="10"/>
      <c r="L13" s="10"/>
      <c r="M13" s="10"/>
      <c r="N13" s="9"/>
      <c r="O13" s="10">
        <f t="shared" ref="O13:O14" si="7">((150-G13)/1)*0.05</f>
        <v>3.5142857142857142</v>
      </c>
      <c r="P13" s="10">
        <f t="shared" ref="P13:P14" si="8">((150-H13)/1)*0.05</f>
        <v>2.657142857142857</v>
      </c>
      <c r="Q13" s="10"/>
      <c r="R13" s="10"/>
      <c r="S13" s="10"/>
      <c r="T13" s="9"/>
    </row>
    <row r="14" spans="3:20" x14ac:dyDescent="0.25">
      <c r="C14" s="5"/>
      <c r="D14" s="10"/>
      <c r="E14" s="10">
        <v>6.2E-2</v>
      </c>
      <c r="F14" s="10">
        <v>7.5999999999999998E-2</v>
      </c>
      <c r="G14" s="10">
        <f t="shared" si="3"/>
        <v>74</v>
      </c>
      <c r="H14" s="10">
        <f t="shared" si="4"/>
        <v>94</v>
      </c>
      <c r="I14" s="10">
        <f t="shared" si="5"/>
        <v>50.666666666666671</v>
      </c>
      <c r="J14" s="10">
        <f t="shared" si="6"/>
        <v>37.333333333333336</v>
      </c>
      <c r="K14" s="10"/>
      <c r="L14" s="10"/>
      <c r="M14" s="10"/>
      <c r="N14" s="9"/>
      <c r="O14" s="10">
        <f t="shared" si="7"/>
        <v>3.8000000000000003</v>
      </c>
      <c r="P14" s="10">
        <f t="shared" si="8"/>
        <v>2.8000000000000003</v>
      </c>
      <c r="Q14" s="10"/>
      <c r="R14" s="10"/>
      <c r="S14" s="10"/>
      <c r="T14" s="9"/>
    </row>
    <row r="18" spans="3:23" x14ac:dyDescent="0.25">
      <c r="C18" s="39"/>
      <c r="D18" s="261" t="s">
        <v>18</v>
      </c>
      <c r="E18" s="262"/>
      <c r="F18" s="262"/>
      <c r="G18" s="263"/>
    </row>
    <row r="19" spans="3:23" x14ac:dyDescent="0.25">
      <c r="C19" s="30"/>
      <c r="D19" s="252">
        <v>1.5</v>
      </c>
      <c r="E19" s="252" t="s">
        <v>9</v>
      </c>
      <c r="F19" s="252">
        <v>2</v>
      </c>
      <c r="G19" s="253" t="s">
        <v>9</v>
      </c>
    </row>
    <row r="20" spans="3:23" x14ac:dyDescent="0.25">
      <c r="C20" s="33" t="s">
        <v>16</v>
      </c>
      <c r="D20" s="34">
        <f>K5</f>
        <v>40.507936507936513</v>
      </c>
      <c r="E20" s="34">
        <f>M5</f>
        <v>1.0997147984564302</v>
      </c>
      <c r="F20" s="34">
        <f>K12</f>
        <v>47.492063492063494</v>
      </c>
      <c r="G20" s="35">
        <f>M12</f>
        <v>2.9095718698132389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</row>
    <row r="21" spans="3:23" x14ac:dyDescent="0.25">
      <c r="C21" s="36" t="s">
        <v>17</v>
      </c>
      <c r="D21" s="37">
        <f>L5</f>
        <v>31.61904761904762</v>
      </c>
      <c r="E21" s="37">
        <f>N5</f>
        <v>1.9047619047619015</v>
      </c>
      <c r="F21" s="37">
        <f>L12</f>
        <v>35.428571428571423</v>
      </c>
      <c r="G21" s="38">
        <f>N12</f>
        <v>1.9047619047619084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8"/>
      <c r="V21" s="18"/>
      <c r="W21" s="18"/>
    </row>
    <row r="22" spans="3:23" x14ac:dyDescent="0.25"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8"/>
      <c r="V22" s="18"/>
      <c r="W22" s="18"/>
    </row>
    <row r="23" spans="3:23" x14ac:dyDescent="0.25">
      <c r="C23" s="18"/>
      <c r="D23" s="21"/>
      <c r="E23" s="21"/>
      <c r="F23" s="21"/>
      <c r="G23" s="21"/>
      <c r="H23" s="21"/>
      <c r="I23" s="21"/>
      <c r="J23" s="21"/>
      <c r="K23" s="21"/>
      <c r="L23" s="21"/>
      <c r="M23" s="18"/>
      <c r="N23" s="18"/>
      <c r="O23" s="21"/>
      <c r="P23" s="21"/>
      <c r="Q23" s="21"/>
      <c r="R23" s="21"/>
      <c r="S23" s="18"/>
      <c r="T23" s="18"/>
      <c r="U23" s="18"/>
      <c r="V23" s="18"/>
      <c r="W23" s="18"/>
    </row>
    <row r="24" spans="3:23" x14ac:dyDescent="0.25">
      <c r="C24" s="18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18"/>
      <c r="O24" s="21"/>
      <c r="P24" s="21"/>
      <c r="Q24" s="21"/>
      <c r="R24" s="21"/>
      <c r="S24" s="21"/>
      <c r="T24" s="18"/>
      <c r="U24" s="18"/>
      <c r="V24" s="18"/>
      <c r="W24" s="18"/>
    </row>
    <row r="25" spans="3:23" x14ac:dyDescent="0.25">
      <c r="C25" s="18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18"/>
      <c r="O25" s="21"/>
      <c r="P25" s="21"/>
      <c r="Q25" s="21"/>
      <c r="R25" s="21"/>
      <c r="S25" s="21"/>
      <c r="T25" s="18"/>
      <c r="U25" s="18"/>
      <c r="V25" s="18"/>
      <c r="W25" s="18"/>
    </row>
    <row r="26" spans="3:23" x14ac:dyDescent="0.25">
      <c r="C26" s="18"/>
      <c r="D26" s="21"/>
      <c r="E26" s="21"/>
      <c r="F26" s="21"/>
      <c r="G26" s="21"/>
      <c r="H26" s="18"/>
      <c r="I26" s="21"/>
      <c r="J26" s="18"/>
      <c r="K26" s="18"/>
      <c r="L26" s="18"/>
      <c r="M26" s="21"/>
      <c r="N26" s="18"/>
      <c r="O26" s="21"/>
      <c r="P26" s="18"/>
      <c r="Q26" s="18"/>
      <c r="R26" s="18"/>
      <c r="S26" s="21"/>
      <c r="T26" s="18"/>
      <c r="U26" s="18"/>
      <c r="V26" s="18"/>
      <c r="W26" s="18"/>
    </row>
    <row r="27" spans="3:23" x14ac:dyDescent="0.25">
      <c r="C27" s="18"/>
      <c r="D27" s="21"/>
      <c r="E27" s="21"/>
      <c r="F27" s="21"/>
      <c r="G27" s="21"/>
      <c r="H27" s="21"/>
      <c r="I27" s="21"/>
      <c r="J27" s="21"/>
      <c r="K27" s="21"/>
      <c r="L27" s="21"/>
      <c r="M27" s="18"/>
      <c r="N27" s="18"/>
      <c r="O27" s="21"/>
      <c r="P27" s="21"/>
      <c r="Q27" s="21"/>
      <c r="R27" s="21"/>
      <c r="S27" s="18"/>
      <c r="T27" s="18"/>
      <c r="U27" s="18"/>
      <c r="V27" s="18"/>
      <c r="W27" s="18"/>
    </row>
    <row r="28" spans="3:23" x14ac:dyDescent="0.25">
      <c r="C28" s="18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18"/>
      <c r="O28" s="21"/>
      <c r="P28" s="21"/>
      <c r="Q28" s="21"/>
      <c r="R28" s="21"/>
      <c r="S28" s="21"/>
      <c r="T28" s="18"/>
      <c r="U28" s="18"/>
      <c r="V28" s="18"/>
      <c r="W28" s="18"/>
    </row>
    <row r="29" spans="3:23" x14ac:dyDescent="0.25">
      <c r="C29" s="18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18"/>
      <c r="O29" s="21"/>
      <c r="P29" s="21"/>
      <c r="Q29" s="21"/>
      <c r="R29" s="21"/>
      <c r="S29" s="21"/>
      <c r="T29" s="18"/>
      <c r="U29" s="18"/>
      <c r="V29" s="18"/>
      <c r="W29" s="18"/>
    </row>
    <row r="30" spans="3:23" x14ac:dyDescent="0.25">
      <c r="C30" s="18"/>
      <c r="D30" s="21"/>
      <c r="E30" s="21"/>
      <c r="F30" s="21"/>
      <c r="G30" s="21"/>
      <c r="H30" s="18"/>
      <c r="I30" s="21"/>
      <c r="J30" s="18"/>
      <c r="K30" s="18"/>
      <c r="L30" s="18"/>
      <c r="M30" s="21"/>
      <c r="N30" s="18"/>
      <c r="O30" s="21"/>
      <c r="P30" s="18"/>
      <c r="Q30" s="18"/>
      <c r="R30" s="18"/>
      <c r="S30" s="21"/>
      <c r="T30" s="18"/>
      <c r="U30" s="18"/>
      <c r="V30" s="18"/>
      <c r="W30" s="18"/>
    </row>
    <row r="31" spans="3:23" x14ac:dyDescent="0.25">
      <c r="C31" s="18"/>
      <c r="D31" s="21"/>
      <c r="E31" s="21"/>
      <c r="F31" s="21"/>
      <c r="G31" s="21"/>
      <c r="H31" s="21"/>
      <c r="I31" s="21"/>
      <c r="J31" s="21"/>
      <c r="K31" s="21"/>
      <c r="L31" s="21"/>
      <c r="M31" s="18"/>
      <c r="N31" s="18"/>
      <c r="O31" s="21"/>
      <c r="P31" s="21"/>
      <c r="Q31" s="21"/>
      <c r="R31" s="21"/>
      <c r="S31" s="18"/>
      <c r="T31" s="18"/>
      <c r="U31" s="18"/>
      <c r="V31" s="18"/>
      <c r="W31" s="18"/>
    </row>
    <row r="32" spans="3:23" x14ac:dyDescent="0.25">
      <c r="C32" s="18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18"/>
      <c r="O32" s="21"/>
      <c r="P32" s="21"/>
      <c r="Q32" s="21"/>
      <c r="R32" s="21"/>
      <c r="S32" s="21"/>
      <c r="T32" s="18"/>
      <c r="U32" s="18"/>
      <c r="V32" s="18"/>
      <c r="W32" s="18"/>
    </row>
    <row r="33" spans="3:23" x14ac:dyDescent="0.25">
      <c r="C33" s="18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18"/>
      <c r="O33" s="21"/>
      <c r="P33" s="21"/>
      <c r="Q33" s="21"/>
      <c r="R33" s="21"/>
      <c r="S33" s="21"/>
      <c r="T33" s="18"/>
      <c r="U33" s="18"/>
      <c r="V33" s="18"/>
      <c r="W33" s="18"/>
    </row>
    <row r="34" spans="3:23" x14ac:dyDescent="0.25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3:23" x14ac:dyDescent="0.25"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</row>
    <row r="36" spans="3:23" x14ac:dyDescent="0.25"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</row>
    <row r="37" spans="3:23" x14ac:dyDescent="0.25"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</row>
  </sheetData>
  <mergeCells count="1">
    <mergeCell ref="D18:G1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Kinetics</vt:lpstr>
      <vt:lpstr>Sheet3</vt:lpstr>
      <vt:lpstr>Isotherm and thermodynamics</vt:lpstr>
      <vt:lpstr>Activation Energy</vt:lpstr>
      <vt:lpstr>PZC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RADAH</dc:creator>
  <cp:lastModifiedBy>RADAH</cp:lastModifiedBy>
  <dcterms:created xsi:type="dcterms:W3CDTF">2022-05-12T10:26:05Z</dcterms:created>
  <dcterms:modified xsi:type="dcterms:W3CDTF">2022-05-29T23:43:16Z</dcterms:modified>
</cp:coreProperties>
</file>