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DAH\Downloads\"/>
    </mc:Choice>
  </mc:AlternateContent>
  <bookViews>
    <workbookView xWindow="0" yWindow="0" windowWidth="15360" windowHeight="8340" activeTab="5"/>
  </bookViews>
  <sheets>
    <sheet name="Sheet1" sheetId="1" r:id="rId1"/>
    <sheet name="Sheet2" sheetId="2" r:id="rId2"/>
    <sheet name="EoT" sheetId="3" r:id="rId3"/>
    <sheet name="EoD" sheetId="4" r:id="rId4"/>
    <sheet name="EoCT" sheetId="5" r:id="rId5"/>
    <sheet name="Kinetic data" sheetId="8" r:id="rId6"/>
  </sheets>
  <definedNames>
    <definedName name="solver_adj" localSheetId="5" hidden="1">'Kinetic data'!$T$132</definedName>
    <definedName name="solver_cvg" localSheetId="5" hidden="1">0.0001</definedName>
    <definedName name="solver_drv" localSheetId="5" hidden="1">1</definedName>
    <definedName name="solver_eng" localSheetId="5" hidden="1">1</definedName>
    <definedName name="solver_est" localSheetId="5" hidden="1">1</definedName>
    <definedName name="solver_itr" localSheetId="5" hidden="1">2147483647</definedName>
    <definedName name="solver_mip" localSheetId="5" hidden="1">2147483647</definedName>
    <definedName name="solver_mni" localSheetId="5" hidden="1">30</definedName>
    <definedName name="solver_mrt" localSheetId="5" hidden="1">0.075</definedName>
    <definedName name="solver_msl" localSheetId="5" hidden="1">2</definedName>
    <definedName name="solver_neg" localSheetId="5" hidden="1">1</definedName>
    <definedName name="solver_nod" localSheetId="5" hidden="1">2147483647</definedName>
    <definedName name="solver_num" localSheetId="5" hidden="1">0</definedName>
    <definedName name="solver_nwt" localSheetId="5" hidden="1">1</definedName>
    <definedName name="solver_opt" localSheetId="5" hidden="1">'Kinetic data'!#REF!</definedName>
    <definedName name="solver_pre" localSheetId="5" hidden="1">0.000001</definedName>
    <definedName name="solver_rbv" localSheetId="5" hidden="1">1</definedName>
    <definedName name="solver_rlx" localSheetId="5" hidden="1">2</definedName>
    <definedName name="solver_rsd" localSheetId="5" hidden="1">0</definedName>
    <definedName name="solver_scl" localSheetId="5" hidden="1">1</definedName>
    <definedName name="solver_sho" localSheetId="5" hidden="1">2</definedName>
    <definedName name="solver_ssz" localSheetId="5" hidden="1">100</definedName>
    <definedName name="solver_tim" localSheetId="5" hidden="1">2147483647</definedName>
    <definedName name="solver_tol" localSheetId="5" hidden="1">0.01</definedName>
    <definedName name="solver_typ" localSheetId="5" hidden="1">3</definedName>
    <definedName name="solver_val" localSheetId="5" hidden="1">-2.437589</definedName>
    <definedName name="solver_ver" localSheetId="5" hidden="1">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8" l="1"/>
  <c r="G5" i="8"/>
  <c r="H5" i="8"/>
  <c r="I5" i="8"/>
  <c r="J5" i="8"/>
  <c r="F9" i="8"/>
  <c r="G9" i="8"/>
  <c r="H9" i="8"/>
  <c r="I9" i="8" s="1"/>
  <c r="J9" i="8"/>
  <c r="F13" i="8"/>
  <c r="G13" i="8"/>
  <c r="H13" i="8"/>
  <c r="I13" i="8" s="1"/>
  <c r="J13" i="8"/>
  <c r="N100" i="8" s="1"/>
  <c r="F17" i="8"/>
  <c r="G17" i="8"/>
  <c r="H17" i="8"/>
  <c r="I17" i="8"/>
  <c r="J17" i="8"/>
  <c r="F21" i="8"/>
  <c r="G21" i="8"/>
  <c r="H21" i="8"/>
  <c r="I21" i="8" s="1"/>
  <c r="F27" i="8"/>
  <c r="G27" i="8"/>
  <c r="H27" i="8"/>
  <c r="I27" i="8" s="1"/>
  <c r="J27" i="8"/>
  <c r="F31" i="8"/>
  <c r="G31" i="8"/>
  <c r="H31" i="8"/>
  <c r="I31" i="8" s="1"/>
  <c r="J31" i="8"/>
  <c r="O99" i="8" s="1"/>
  <c r="F35" i="8"/>
  <c r="G35" i="8"/>
  <c r="H35" i="8"/>
  <c r="I35" i="8"/>
  <c r="J35" i="8"/>
  <c r="F39" i="8"/>
  <c r="G39" i="8"/>
  <c r="H39" i="8"/>
  <c r="I39" i="8" s="1"/>
  <c r="F43" i="8"/>
  <c r="G43" i="8"/>
  <c r="H43" i="8"/>
  <c r="I43" i="8" s="1"/>
  <c r="J43" i="8"/>
  <c r="O102" i="8" s="1"/>
  <c r="F49" i="8"/>
  <c r="G49" i="8"/>
  <c r="H49" i="8"/>
  <c r="I49" i="8" s="1"/>
  <c r="J49" i="8"/>
  <c r="P98" i="8" s="1"/>
  <c r="F53" i="8"/>
  <c r="G53" i="8"/>
  <c r="H53" i="8"/>
  <c r="I53" i="8"/>
  <c r="J53" i="8"/>
  <c r="F57" i="8"/>
  <c r="G57" i="8"/>
  <c r="H57" i="8"/>
  <c r="I57" i="8" s="1"/>
  <c r="F61" i="8"/>
  <c r="G61" i="8"/>
  <c r="H61" i="8"/>
  <c r="I61" i="8" s="1"/>
  <c r="J61" i="8"/>
  <c r="F65" i="8"/>
  <c r="G65" i="8"/>
  <c r="H65" i="8"/>
  <c r="I65" i="8" s="1"/>
  <c r="J65" i="8"/>
  <c r="P102" i="8" s="1"/>
  <c r="F71" i="8"/>
  <c r="G71" i="8"/>
  <c r="H71" i="8"/>
  <c r="I71" i="8"/>
  <c r="J71" i="8"/>
  <c r="F75" i="8"/>
  <c r="G75" i="8"/>
  <c r="H75" i="8"/>
  <c r="I75" i="8" s="1"/>
  <c r="F79" i="8"/>
  <c r="G79" i="8"/>
  <c r="H79" i="8"/>
  <c r="I79" i="8" s="1"/>
  <c r="J79" i="8"/>
  <c r="F83" i="8"/>
  <c r="G83" i="8"/>
  <c r="H83" i="8"/>
  <c r="I83" i="8" s="1"/>
  <c r="J83" i="8"/>
  <c r="Q101" i="8" s="1"/>
  <c r="F87" i="8"/>
  <c r="G87" i="8"/>
  <c r="H87" i="8"/>
  <c r="I87" i="8"/>
  <c r="J87" i="8"/>
  <c r="F93" i="8"/>
  <c r="G93" i="8"/>
  <c r="H93" i="8"/>
  <c r="I93" i="8" s="1"/>
  <c r="F97" i="8"/>
  <c r="G97" i="8"/>
  <c r="H97" i="8"/>
  <c r="I97" i="8" s="1"/>
  <c r="J97" i="8"/>
  <c r="N98" i="8"/>
  <c r="O98" i="8"/>
  <c r="Q98" i="8"/>
  <c r="N99" i="8"/>
  <c r="P99" i="8"/>
  <c r="R99" i="8"/>
  <c r="O100" i="8"/>
  <c r="Q100" i="8"/>
  <c r="F101" i="8"/>
  <c r="G101" i="8"/>
  <c r="H101" i="8"/>
  <c r="I101" i="8" s="1"/>
  <c r="J101" i="8"/>
  <c r="R100" i="8" s="1"/>
  <c r="N101" i="8"/>
  <c r="P101" i="8"/>
  <c r="Q102" i="8"/>
  <c r="F105" i="8"/>
  <c r="G105" i="8"/>
  <c r="H105" i="8"/>
  <c r="I105" i="8" s="1"/>
  <c r="J105" i="8"/>
  <c r="R101" i="8" s="1"/>
  <c r="F109" i="8"/>
  <c r="G109" i="8"/>
  <c r="H109" i="8"/>
  <c r="I109" i="8"/>
  <c r="J109" i="8"/>
  <c r="R102" i="8" s="1"/>
  <c r="N128" i="8"/>
  <c r="P128" i="8" s="1"/>
  <c r="T128" i="8" s="1"/>
  <c r="R128" i="8"/>
  <c r="S128" i="8" s="1"/>
  <c r="N129" i="8"/>
  <c r="P129" i="8" s="1"/>
  <c r="T129" i="8" s="1"/>
  <c r="R129" i="8"/>
  <c r="S129" i="8" s="1"/>
  <c r="N130" i="8"/>
  <c r="P130" i="8" s="1"/>
  <c r="T130" i="8" s="1"/>
  <c r="R130" i="8"/>
  <c r="S130" i="8" s="1"/>
  <c r="N131" i="8"/>
  <c r="P131" i="8" s="1"/>
  <c r="T131" i="8" s="1"/>
  <c r="R131" i="8"/>
  <c r="S131" i="8" s="1"/>
  <c r="N132" i="8"/>
  <c r="P132" i="8" s="1"/>
  <c r="T132" i="8" s="1"/>
  <c r="R132" i="8"/>
  <c r="S132" i="8" s="1"/>
  <c r="O157" i="8"/>
  <c r="O158" i="8" s="1"/>
  <c r="J93" i="8" l="1"/>
  <c r="R98" i="8" s="1"/>
  <c r="J75" i="8"/>
  <c r="Q99" i="8" s="1"/>
  <c r="J57" i="8"/>
  <c r="P100" i="8" s="1"/>
  <c r="J39" i="8"/>
  <c r="O101" i="8" s="1"/>
  <c r="J21" i="8"/>
  <c r="N102" i="8" s="1"/>
  <c r="K82" i="5"/>
  <c r="M82" i="5"/>
  <c r="N82" i="5"/>
  <c r="O82" i="5"/>
  <c r="K83" i="5"/>
  <c r="L83" i="5"/>
  <c r="M83" i="5"/>
  <c r="N83" i="5"/>
  <c r="O83" i="5"/>
  <c r="K84" i="5"/>
  <c r="L84" i="5"/>
  <c r="M84" i="5"/>
  <c r="N84" i="5"/>
  <c r="O84" i="5"/>
  <c r="K85" i="5"/>
  <c r="L85" i="5"/>
  <c r="M85" i="5"/>
  <c r="N85" i="5"/>
  <c r="O85" i="5"/>
  <c r="K86" i="5"/>
  <c r="L86" i="5"/>
  <c r="M86" i="5"/>
  <c r="N86" i="5"/>
  <c r="O86" i="5"/>
  <c r="L119" i="3" l="1"/>
  <c r="L120" i="3"/>
  <c r="L121" i="3"/>
  <c r="L122" i="3"/>
  <c r="L118" i="3"/>
  <c r="J129" i="5" l="1"/>
  <c r="J130" i="5"/>
  <c r="J131" i="5"/>
  <c r="J128" i="5"/>
  <c r="M129" i="5"/>
  <c r="M130" i="5"/>
  <c r="M131" i="5"/>
  <c r="M128" i="5"/>
  <c r="L131" i="5"/>
  <c r="I131" i="5"/>
  <c r="S122" i="5" l="1"/>
  <c r="U122" i="5" s="1"/>
  <c r="S123" i="5"/>
  <c r="U123" i="5" s="1"/>
  <c r="S124" i="5"/>
  <c r="U124" i="5" s="1"/>
  <c r="S121" i="5"/>
  <c r="U121" i="5" s="1"/>
  <c r="I122" i="5"/>
  <c r="I123" i="5"/>
  <c r="I124" i="5"/>
  <c r="I121" i="5"/>
  <c r="E122" i="5"/>
  <c r="D129" i="5" s="1"/>
  <c r="E123" i="5"/>
  <c r="D130" i="5" s="1"/>
  <c r="E124" i="5"/>
  <c r="D131" i="5" s="1"/>
  <c r="E121" i="5"/>
  <c r="D128" i="5" s="1"/>
  <c r="K121" i="5" l="1"/>
  <c r="G128" i="5"/>
  <c r="K123" i="5"/>
  <c r="G130" i="5"/>
  <c r="K124" i="5"/>
  <c r="G131" i="5"/>
  <c r="K122" i="5"/>
  <c r="G129" i="5"/>
  <c r="P83" i="5"/>
  <c r="P84" i="5"/>
  <c r="P85" i="5"/>
  <c r="P86" i="5"/>
  <c r="P82" i="5"/>
  <c r="P58" i="5" l="1"/>
  <c r="O58" i="5"/>
  <c r="Q58" i="5" s="1"/>
  <c r="R58" i="5" s="1"/>
  <c r="H72" i="5" s="1"/>
  <c r="P54" i="5"/>
  <c r="O54" i="5"/>
  <c r="Q54" i="5" s="1"/>
  <c r="S54" i="5" s="1"/>
  <c r="C131" i="5" s="1"/>
  <c r="F131" i="5" s="1"/>
  <c r="P50" i="5"/>
  <c r="O50" i="5"/>
  <c r="Q50" i="5" s="1"/>
  <c r="R50" i="5" s="1"/>
  <c r="H70" i="5" s="1"/>
  <c r="P46" i="5"/>
  <c r="O46" i="5"/>
  <c r="Q46" i="5" s="1"/>
  <c r="R46" i="5" s="1"/>
  <c r="H69" i="5" s="1"/>
  <c r="P42" i="5"/>
  <c r="O42" i="5"/>
  <c r="Q42" i="5" s="1"/>
  <c r="R42" i="5" s="1"/>
  <c r="H68" i="5" s="1"/>
  <c r="P38" i="5"/>
  <c r="O38" i="5"/>
  <c r="Q38" i="5" s="1"/>
  <c r="R38" i="5" s="1"/>
  <c r="H67" i="5" s="1"/>
  <c r="P34" i="5"/>
  <c r="O34" i="5"/>
  <c r="Q34" i="5" s="1"/>
  <c r="R34" i="5" s="1"/>
  <c r="H66" i="5" s="1"/>
  <c r="F58" i="5"/>
  <c r="E58" i="5"/>
  <c r="G58" i="5" s="1"/>
  <c r="I58" i="5" s="1"/>
  <c r="F54" i="5"/>
  <c r="E54" i="5"/>
  <c r="G54" i="5" s="1"/>
  <c r="H54" i="5" s="1"/>
  <c r="G71" i="5" s="1"/>
  <c r="F50" i="5"/>
  <c r="E50" i="5"/>
  <c r="G50" i="5" s="1"/>
  <c r="I50" i="5" s="1"/>
  <c r="F46" i="5"/>
  <c r="E46" i="5"/>
  <c r="G46" i="5" s="1"/>
  <c r="I46" i="5" s="1"/>
  <c r="S85" i="5" s="1"/>
  <c r="F42" i="5"/>
  <c r="E42" i="5"/>
  <c r="G42" i="5" s="1"/>
  <c r="H42" i="5" s="1"/>
  <c r="G68" i="5" s="1"/>
  <c r="F38" i="5"/>
  <c r="E38" i="5"/>
  <c r="G38" i="5" s="1"/>
  <c r="I38" i="5" s="1"/>
  <c r="S83" i="5" s="1"/>
  <c r="F34" i="5"/>
  <c r="E34" i="5"/>
  <c r="G34" i="5" s="1"/>
  <c r="H34" i="5" s="1"/>
  <c r="G66" i="5" s="1"/>
  <c r="P28" i="5"/>
  <c r="O28" i="5"/>
  <c r="Q28" i="5" s="1"/>
  <c r="S28" i="5" s="1"/>
  <c r="P24" i="5"/>
  <c r="O24" i="5"/>
  <c r="Q24" i="5" s="1"/>
  <c r="S24" i="5" s="1"/>
  <c r="C129" i="5" s="1"/>
  <c r="P20" i="5"/>
  <c r="O20" i="5"/>
  <c r="Q20" i="5" s="1"/>
  <c r="R20" i="5" s="1"/>
  <c r="F70" i="5" s="1"/>
  <c r="P16" i="5"/>
  <c r="O16" i="5"/>
  <c r="Q16" i="5" s="1"/>
  <c r="R16" i="5" s="1"/>
  <c r="F69" i="5" s="1"/>
  <c r="P12" i="5"/>
  <c r="O12" i="5"/>
  <c r="Q12" i="5" s="1"/>
  <c r="S12" i="5" s="1"/>
  <c r="R84" i="5" s="1"/>
  <c r="P8" i="5"/>
  <c r="O8" i="5"/>
  <c r="Q8" i="5" s="1"/>
  <c r="S8" i="5" s="1"/>
  <c r="R83" i="5" s="1"/>
  <c r="P4" i="5"/>
  <c r="O4" i="5"/>
  <c r="Q4" i="5" s="1"/>
  <c r="R4" i="5" s="1"/>
  <c r="F66" i="5" s="1"/>
  <c r="F28" i="5"/>
  <c r="E28" i="5"/>
  <c r="G28" i="5" s="1"/>
  <c r="F24" i="5"/>
  <c r="E24" i="5"/>
  <c r="G24" i="5" s="1"/>
  <c r="F20" i="5"/>
  <c r="E20" i="5"/>
  <c r="G20" i="5" s="1"/>
  <c r="F16" i="5"/>
  <c r="E16" i="5"/>
  <c r="G16" i="5" s="1"/>
  <c r="F12" i="5"/>
  <c r="E12" i="5"/>
  <c r="G12" i="5" s="1"/>
  <c r="F8" i="5"/>
  <c r="E8" i="5"/>
  <c r="G8" i="5" s="1"/>
  <c r="F4" i="5"/>
  <c r="E4" i="5"/>
  <c r="G4" i="5" s="1"/>
  <c r="F129" i="5" l="1"/>
  <c r="I129" i="5"/>
  <c r="I86" i="5"/>
  <c r="S86" i="5"/>
  <c r="H83" i="5"/>
  <c r="H84" i="5"/>
  <c r="D83" i="5"/>
  <c r="D84" i="5"/>
  <c r="I83" i="5"/>
  <c r="I85" i="5"/>
  <c r="R24" i="5"/>
  <c r="F71" i="5" s="1"/>
  <c r="I54" i="5"/>
  <c r="G72" i="5"/>
  <c r="R28" i="5"/>
  <c r="F72" i="5" s="1"/>
  <c r="S4" i="5"/>
  <c r="R8" i="5"/>
  <c r="F67" i="5" s="1"/>
  <c r="R12" i="5"/>
  <c r="F68" i="5" s="1"/>
  <c r="S16" i="5"/>
  <c r="R85" i="5" s="1"/>
  <c r="S20" i="5"/>
  <c r="R86" i="5" s="1"/>
  <c r="S34" i="5"/>
  <c r="S38" i="5"/>
  <c r="T83" i="5" s="1"/>
  <c r="S42" i="5"/>
  <c r="T84" i="5" s="1"/>
  <c r="S46" i="5"/>
  <c r="T85" i="5" s="1"/>
  <c r="S50" i="5"/>
  <c r="T86" i="5" s="1"/>
  <c r="S58" i="5"/>
  <c r="R54" i="5"/>
  <c r="H71" i="5" s="1"/>
  <c r="I34" i="5"/>
  <c r="H38" i="5"/>
  <c r="G67" i="5" s="1"/>
  <c r="I42" i="5"/>
  <c r="S84" i="5" s="1"/>
  <c r="H46" i="5"/>
  <c r="G69" i="5" s="1"/>
  <c r="H50" i="5"/>
  <c r="G70" i="5" s="1"/>
  <c r="H58" i="5"/>
  <c r="H24" i="5"/>
  <c r="E71" i="5" s="1"/>
  <c r="I24" i="5"/>
  <c r="C128" i="5" s="1"/>
  <c r="I28" i="5"/>
  <c r="H28" i="5"/>
  <c r="E72" i="5" s="1"/>
  <c r="I4" i="5"/>
  <c r="L82" i="5" s="1"/>
  <c r="H4" i="5"/>
  <c r="E66" i="5" s="1"/>
  <c r="H8" i="5"/>
  <c r="E67" i="5" s="1"/>
  <c r="I8" i="5"/>
  <c r="I12" i="5"/>
  <c r="Q84" i="5" s="1"/>
  <c r="H12" i="5"/>
  <c r="E68" i="5" s="1"/>
  <c r="H16" i="5"/>
  <c r="E69" i="5" s="1"/>
  <c r="I16" i="5"/>
  <c r="Q85" i="5" s="1"/>
  <c r="I20" i="5"/>
  <c r="Q86" i="5" s="1"/>
  <c r="H20" i="5"/>
  <c r="E70" i="5" s="1"/>
  <c r="F144" i="3"/>
  <c r="F145" i="3"/>
  <c r="F146" i="3"/>
  <c r="F143" i="3"/>
  <c r="G144" i="3"/>
  <c r="G145" i="3"/>
  <c r="G146" i="3"/>
  <c r="G143" i="3"/>
  <c r="C130" i="3"/>
  <c r="C131" i="3"/>
  <c r="C132" i="3"/>
  <c r="C133" i="3"/>
  <c r="C129" i="3"/>
  <c r="L129" i="5" l="1"/>
  <c r="F128" i="5"/>
  <c r="I128" i="5"/>
  <c r="E86" i="5"/>
  <c r="C130" i="5"/>
  <c r="E85" i="5"/>
  <c r="G83" i="5"/>
  <c r="Q83" i="5"/>
  <c r="J82" i="5"/>
  <c r="T82" i="5"/>
  <c r="F84" i="5"/>
  <c r="F86" i="5"/>
  <c r="G82" i="5"/>
  <c r="Q82" i="5"/>
  <c r="I82" i="5"/>
  <c r="S82" i="5"/>
  <c r="H82" i="5"/>
  <c r="R82" i="5"/>
  <c r="F82" i="5"/>
  <c r="D85" i="5"/>
  <c r="G86" i="5"/>
  <c r="G84" i="5"/>
  <c r="I84" i="5"/>
  <c r="J85" i="5"/>
  <c r="J83" i="5"/>
  <c r="H86" i="5"/>
  <c r="D82" i="5"/>
  <c r="D86" i="5"/>
  <c r="G85" i="5"/>
  <c r="J86" i="5"/>
  <c r="J84" i="5"/>
  <c r="H85" i="5"/>
  <c r="F85" i="5"/>
  <c r="F83" i="5"/>
  <c r="E84" i="5"/>
  <c r="E82" i="5"/>
  <c r="E83" i="5"/>
  <c r="C84" i="5"/>
  <c r="C83" i="5"/>
  <c r="C85" i="5"/>
  <c r="C86" i="5"/>
  <c r="C82" i="5"/>
  <c r="L143" i="3"/>
  <c r="K143" i="3"/>
  <c r="J143" i="3"/>
  <c r="I143" i="3"/>
  <c r="H143" i="3"/>
  <c r="L145" i="3"/>
  <c r="K145" i="3"/>
  <c r="J145" i="3"/>
  <c r="H145" i="3"/>
  <c r="I145" i="3"/>
  <c r="I146" i="3"/>
  <c r="L146" i="3"/>
  <c r="K146" i="3"/>
  <c r="J146" i="3"/>
  <c r="H146" i="3"/>
  <c r="L144" i="3"/>
  <c r="K144" i="3"/>
  <c r="J144" i="3"/>
  <c r="I144" i="3"/>
  <c r="H144" i="3"/>
  <c r="K119" i="3"/>
  <c r="K120" i="3"/>
  <c r="K121" i="3"/>
  <c r="K122" i="3"/>
  <c r="K118" i="3"/>
  <c r="E119" i="3"/>
  <c r="F119" i="3" s="1"/>
  <c r="E120" i="3"/>
  <c r="F120" i="3" s="1"/>
  <c r="E121" i="3"/>
  <c r="F121" i="3" s="1"/>
  <c r="E122" i="3"/>
  <c r="F122" i="3" s="1"/>
  <c r="E118" i="3"/>
  <c r="F159" i="3" l="1"/>
  <c r="D159" i="3"/>
  <c r="G159" i="3"/>
  <c r="E159" i="3"/>
  <c r="F157" i="3"/>
  <c r="D157" i="3"/>
  <c r="G157" i="3"/>
  <c r="E157" i="3"/>
  <c r="G158" i="3"/>
  <c r="E158" i="3"/>
  <c r="F158" i="3"/>
  <c r="D158" i="3"/>
  <c r="G156" i="3"/>
  <c r="E156" i="3"/>
  <c r="F156" i="3"/>
  <c r="D156" i="3"/>
  <c r="F130" i="5"/>
  <c r="I130" i="5"/>
  <c r="L128" i="5"/>
  <c r="F118" i="3"/>
  <c r="M22" i="4"/>
  <c r="M21" i="4"/>
  <c r="M20" i="4"/>
  <c r="M19" i="4"/>
  <c r="M18" i="4"/>
  <c r="M17" i="4"/>
  <c r="L22" i="4"/>
  <c r="L21" i="4"/>
  <c r="L20" i="4"/>
  <c r="L19" i="4"/>
  <c r="L18" i="4"/>
  <c r="L17" i="4"/>
  <c r="L10" i="4"/>
  <c r="L9" i="4"/>
  <c r="L8" i="4"/>
  <c r="L7" i="4"/>
  <c r="L6" i="4"/>
  <c r="L5" i="4"/>
  <c r="F25" i="4"/>
  <c r="E25" i="4"/>
  <c r="G25" i="4" s="1"/>
  <c r="F21" i="4"/>
  <c r="E21" i="4"/>
  <c r="G21" i="4" s="1"/>
  <c r="F17" i="4"/>
  <c r="E17" i="4"/>
  <c r="G17" i="4" s="1"/>
  <c r="F13" i="4"/>
  <c r="E13" i="4"/>
  <c r="G13" i="4" s="1"/>
  <c r="F9" i="4"/>
  <c r="E9" i="4"/>
  <c r="G9" i="4" s="1"/>
  <c r="F5" i="4"/>
  <c r="E5" i="4"/>
  <c r="G5" i="4" s="1"/>
  <c r="I5" i="4" s="1"/>
  <c r="O43" i="3"/>
  <c r="N43" i="3"/>
  <c r="P43" i="3" s="1"/>
  <c r="E112" i="3" s="1"/>
  <c r="O39" i="3"/>
  <c r="N39" i="3"/>
  <c r="P39" i="3" s="1"/>
  <c r="E111" i="3" s="1"/>
  <c r="O35" i="3"/>
  <c r="N35" i="3"/>
  <c r="P35" i="3" s="1"/>
  <c r="E110" i="3" s="1"/>
  <c r="O31" i="3"/>
  <c r="N31" i="3"/>
  <c r="P31" i="3" s="1"/>
  <c r="E109" i="3" s="1"/>
  <c r="O27" i="3"/>
  <c r="N27" i="3"/>
  <c r="P27" i="3" s="1"/>
  <c r="E108" i="3" s="1"/>
  <c r="F43" i="3"/>
  <c r="E43" i="3"/>
  <c r="G43" i="3" s="1"/>
  <c r="E107" i="3" s="1"/>
  <c r="F39" i="3"/>
  <c r="E39" i="3"/>
  <c r="G39" i="3" s="1"/>
  <c r="E106" i="3" s="1"/>
  <c r="F35" i="3"/>
  <c r="E35" i="3"/>
  <c r="G35" i="3" s="1"/>
  <c r="E105" i="3" s="1"/>
  <c r="F31" i="3"/>
  <c r="E31" i="3"/>
  <c r="G31" i="3" s="1"/>
  <c r="E104" i="3" s="1"/>
  <c r="F27" i="3"/>
  <c r="E27" i="3"/>
  <c r="G27" i="3" s="1"/>
  <c r="E103" i="3" s="1"/>
  <c r="O22" i="3"/>
  <c r="N22" i="3"/>
  <c r="P22" i="3" s="1"/>
  <c r="E102" i="3" s="1"/>
  <c r="O18" i="3"/>
  <c r="N18" i="3"/>
  <c r="P18" i="3" s="1"/>
  <c r="E101" i="3" s="1"/>
  <c r="O14" i="3"/>
  <c r="N14" i="3"/>
  <c r="P14" i="3" s="1"/>
  <c r="E100" i="3" s="1"/>
  <c r="O10" i="3"/>
  <c r="N10" i="3"/>
  <c r="P10" i="3" s="1"/>
  <c r="E99" i="3" s="1"/>
  <c r="O6" i="3"/>
  <c r="N6" i="3"/>
  <c r="P6" i="3" s="1"/>
  <c r="E98" i="3" s="1"/>
  <c r="F22" i="3"/>
  <c r="F18" i="3"/>
  <c r="F14" i="3"/>
  <c r="F10" i="3"/>
  <c r="F6" i="3"/>
  <c r="E22" i="3"/>
  <c r="G22" i="3" s="1"/>
  <c r="E18" i="3"/>
  <c r="G18" i="3" s="1"/>
  <c r="E96" i="3" s="1"/>
  <c r="E14" i="3"/>
  <c r="G14" i="3" s="1"/>
  <c r="E95" i="3" s="1"/>
  <c r="E10" i="3"/>
  <c r="G10" i="3" s="1"/>
  <c r="E94" i="3" s="1"/>
  <c r="E6" i="3"/>
  <c r="G155" i="3" l="1"/>
  <c r="E155" i="3"/>
  <c r="F155" i="3"/>
  <c r="D155" i="3"/>
  <c r="L130" i="5"/>
  <c r="H94" i="3"/>
  <c r="H96" i="3"/>
  <c r="H95" i="3"/>
  <c r="E82" i="3"/>
  <c r="E97" i="3"/>
  <c r="H98" i="3"/>
  <c r="H99" i="3"/>
  <c r="H100" i="3"/>
  <c r="H101" i="3"/>
  <c r="H102" i="3"/>
  <c r="H103" i="3"/>
  <c r="H104" i="3"/>
  <c r="H105" i="3"/>
  <c r="H106" i="3"/>
  <c r="H108" i="3"/>
  <c r="H109" i="3"/>
  <c r="H110" i="3"/>
  <c r="H111" i="3"/>
  <c r="H112" i="3"/>
  <c r="I18" i="3"/>
  <c r="E78" i="3"/>
  <c r="H14" i="3"/>
  <c r="D54" i="3" s="1"/>
  <c r="E74" i="3"/>
  <c r="R6" i="3"/>
  <c r="E67" i="3"/>
  <c r="R10" i="3"/>
  <c r="E71" i="3"/>
  <c r="Q14" i="3"/>
  <c r="E54" i="3" s="1"/>
  <c r="E75" i="3"/>
  <c r="Q18" i="3"/>
  <c r="E55" i="3" s="1"/>
  <c r="E79" i="3"/>
  <c r="Q22" i="3"/>
  <c r="E56" i="3" s="1"/>
  <c r="E83" i="3"/>
  <c r="I27" i="3"/>
  <c r="E68" i="3"/>
  <c r="I31" i="3"/>
  <c r="E72" i="3"/>
  <c r="H35" i="3"/>
  <c r="F54" i="3" s="1"/>
  <c r="E76" i="3"/>
  <c r="I39" i="3"/>
  <c r="E80" i="3"/>
  <c r="H43" i="3"/>
  <c r="F56" i="3" s="1"/>
  <c r="E84" i="3"/>
  <c r="Q27" i="3"/>
  <c r="G52" i="3" s="1"/>
  <c r="E69" i="3"/>
  <c r="Q31" i="3"/>
  <c r="G53" i="3" s="1"/>
  <c r="E73" i="3"/>
  <c r="R35" i="3"/>
  <c r="E77" i="3"/>
  <c r="Q39" i="3"/>
  <c r="G55" i="3" s="1"/>
  <c r="E81" i="3"/>
  <c r="Q43" i="3"/>
  <c r="G56" i="3" s="1"/>
  <c r="E85" i="3"/>
  <c r="I10" i="3"/>
  <c r="E70" i="3"/>
  <c r="H10" i="3"/>
  <c r="D53" i="3" s="1"/>
  <c r="H18" i="3"/>
  <c r="D55" i="3" s="1"/>
  <c r="I14" i="3"/>
  <c r="Q6" i="3"/>
  <c r="E52" i="3" s="1"/>
  <c r="Q10" i="3"/>
  <c r="E53" i="3" s="1"/>
  <c r="R14" i="3"/>
  <c r="R18" i="3"/>
  <c r="R22" i="3"/>
  <c r="I22" i="3"/>
  <c r="H22" i="3"/>
  <c r="D56" i="3" s="1"/>
  <c r="H25" i="4"/>
  <c r="I25" i="4"/>
  <c r="H5" i="4"/>
  <c r="H9" i="4"/>
  <c r="I9" i="4"/>
  <c r="I13" i="4"/>
  <c r="H13" i="4"/>
  <c r="H17" i="4"/>
  <c r="I17" i="4"/>
  <c r="I21" i="4"/>
  <c r="H21" i="4"/>
  <c r="R43" i="3"/>
  <c r="R39" i="3"/>
  <c r="Q35" i="3"/>
  <c r="G54" i="3" s="1"/>
  <c r="R31" i="3"/>
  <c r="R27" i="3"/>
  <c r="I43" i="3"/>
  <c r="H39" i="3"/>
  <c r="F55" i="3" s="1"/>
  <c r="I35" i="3"/>
  <c r="H31" i="3"/>
  <c r="F53" i="3" s="1"/>
  <c r="H27" i="3"/>
  <c r="F52" i="3" s="1"/>
  <c r="G6" i="3"/>
  <c r="H82" i="3" l="1"/>
  <c r="E66" i="3"/>
  <c r="E93" i="3"/>
  <c r="D69" i="3"/>
  <c r="D108" i="3"/>
  <c r="J129" i="3" s="1"/>
  <c r="K129" i="3" s="1"/>
  <c r="D85" i="3"/>
  <c r="D112" i="3"/>
  <c r="J133" i="3" s="1"/>
  <c r="K133" i="3" s="1"/>
  <c r="D83" i="3"/>
  <c r="D102" i="3"/>
  <c r="F133" i="3" s="1"/>
  <c r="G133" i="3" s="1"/>
  <c r="D75" i="3"/>
  <c r="D100" i="3"/>
  <c r="F131" i="3" s="1"/>
  <c r="G131" i="3" s="1"/>
  <c r="D78" i="3"/>
  <c r="D96" i="3"/>
  <c r="D132" i="3" s="1"/>
  <c r="E132" i="3" s="1"/>
  <c r="D76" i="3"/>
  <c r="D105" i="3"/>
  <c r="H131" i="3" s="1"/>
  <c r="I131" i="3" s="1"/>
  <c r="D84" i="3"/>
  <c r="G84" i="3" s="1"/>
  <c r="D107" i="3"/>
  <c r="H133" i="3" s="1"/>
  <c r="I133" i="3" s="1"/>
  <c r="D73" i="3"/>
  <c r="D109" i="3"/>
  <c r="J130" i="3" s="1"/>
  <c r="K130" i="3" s="1"/>
  <c r="D81" i="3"/>
  <c r="G81" i="3" s="1"/>
  <c r="D111" i="3"/>
  <c r="J132" i="3" s="1"/>
  <c r="K132" i="3" s="1"/>
  <c r="D82" i="3"/>
  <c r="F82" i="3" s="1"/>
  <c r="D97" i="3"/>
  <c r="D133" i="3" s="1"/>
  <c r="E133" i="3" s="1"/>
  <c r="D79" i="3"/>
  <c r="D101" i="3"/>
  <c r="F132" i="3" s="1"/>
  <c r="G132" i="3" s="1"/>
  <c r="D74" i="3"/>
  <c r="D95" i="3"/>
  <c r="D131" i="3" s="1"/>
  <c r="E131" i="3" s="1"/>
  <c r="D70" i="3"/>
  <c r="D94" i="3"/>
  <c r="D130" i="3" s="1"/>
  <c r="E130" i="3" s="1"/>
  <c r="D77" i="3"/>
  <c r="D110" i="3"/>
  <c r="J131" i="3" s="1"/>
  <c r="K131" i="3" s="1"/>
  <c r="D80" i="3"/>
  <c r="D106" i="3"/>
  <c r="H132" i="3" s="1"/>
  <c r="I132" i="3" s="1"/>
  <c r="D72" i="3"/>
  <c r="D104" i="3"/>
  <c r="H130" i="3" s="1"/>
  <c r="I130" i="3" s="1"/>
  <c r="D68" i="3"/>
  <c r="D103" i="3"/>
  <c r="H129" i="3" s="1"/>
  <c r="I129" i="3" s="1"/>
  <c r="D71" i="3"/>
  <c r="D99" i="3"/>
  <c r="F130" i="3" s="1"/>
  <c r="G130" i="3" s="1"/>
  <c r="D67" i="3"/>
  <c r="D98" i="3"/>
  <c r="F129" i="3" s="1"/>
  <c r="G129" i="3" s="1"/>
  <c r="H97" i="3"/>
  <c r="F97" i="3"/>
  <c r="H70" i="3"/>
  <c r="H85" i="3"/>
  <c r="H81" i="3"/>
  <c r="H77" i="3"/>
  <c r="H73" i="3"/>
  <c r="H69" i="3"/>
  <c r="H84" i="3"/>
  <c r="H80" i="3"/>
  <c r="H76" i="3"/>
  <c r="H72" i="3"/>
  <c r="H68" i="3"/>
  <c r="H83" i="3"/>
  <c r="H79" i="3"/>
  <c r="H75" i="3"/>
  <c r="H71" i="3"/>
  <c r="H67" i="3"/>
  <c r="H74" i="3"/>
  <c r="H78" i="3"/>
  <c r="I6" i="3"/>
  <c r="H6" i="3"/>
  <c r="D52" i="3" s="1"/>
  <c r="G72" i="3" l="1"/>
  <c r="G76" i="3"/>
  <c r="G78" i="3"/>
  <c r="G74" i="3"/>
  <c r="G69" i="3"/>
  <c r="G71" i="3"/>
  <c r="G77" i="3"/>
  <c r="G82" i="3"/>
  <c r="G83" i="3"/>
  <c r="G67" i="3"/>
  <c r="G68" i="3"/>
  <c r="G80" i="3"/>
  <c r="G70" i="3"/>
  <c r="G79" i="3"/>
  <c r="G73" i="3"/>
  <c r="F78" i="3"/>
  <c r="F74" i="3"/>
  <c r="F67" i="3"/>
  <c r="F71" i="3"/>
  <c r="F75" i="3"/>
  <c r="F79" i="3"/>
  <c r="F83" i="3"/>
  <c r="F68" i="3"/>
  <c r="F72" i="3"/>
  <c r="F76" i="3"/>
  <c r="F80" i="3"/>
  <c r="F84" i="3"/>
  <c r="F69" i="3"/>
  <c r="F73" i="3"/>
  <c r="F77" i="3"/>
  <c r="F81" i="3"/>
  <c r="F85" i="3"/>
  <c r="F70" i="3"/>
  <c r="G75" i="3"/>
  <c r="G85" i="3"/>
  <c r="H66" i="3"/>
  <c r="D66" i="3"/>
  <c r="D93" i="3"/>
  <c r="D129" i="3" s="1"/>
  <c r="E129" i="3" s="1"/>
  <c r="G98" i="3"/>
  <c r="F98" i="3"/>
  <c r="G99" i="3"/>
  <c r="F99" i="3"/>
  <c r="G103" i="3"/>
  <c r="F103" i="3"/>
  <c r="G104" i="3"/>
  <c r="F104" i="3"/>
  <c r="G106" i="3"/>
  <c r="F106" i="3"/>
  <c r="G110" i="3"/>
  <c r="F110" i="3"/>
  <c r="G94" i="3"/>
  <c r="F94" i="3"/>
  <c r="G95" i="3"/>
  <c r="F95" i="3"/>
  <c r="G101" i="3"/>
  <c r="F101" i="3"/>
  <c r="G97" i="3"/>
  <c r="G111" i="3"/>
  <c r="F111" i="3"/>
  <c r="G109" i="3"/>
  <c r="F109" i="3"/>
  <c r="G105" i="3"/>
  <c r="F105" i="3"/>
  <c r="G96" i="3"/>
  <c r="F96" i="3"/>
  <c r="G100" i="3"/>
  <c r="F100" i="3"/>
  <c r="G102" i="3"/>
  <c r="F102" i="3"/>
  <c r="G112" i="3"/>
  <c r="F112" i="3"/>
  <c r="G108" i="3"/>
  <c r="F108" i="3"/>
  <c r="H93" i="3"/>
  <c r="F93" i="3"/>
  <c r="H107" i="3"/>
  <c r="F107" i="3"/>
  <c r="G107" i="3"/>
  <c r="G66" i="3"/>
  <c r="F66" i="3" l="1"/>
  <c r="G93" i="3"/>
</calcChain>
</file>

<file path=xl/sharedStrings.xml><?xml version="1.0" encoding="utf-8"?>
<sst xmlns="http://schemas.openxmlformats.org/spreadsheetml/2006/main" count="333" uniqueCount="138">
  <si>
    <t>Concentration (mg/L)</t>
  </si>
  <si>
    <t xml:space="preserve">Absorbance </t>
  </si>
  <si>
    <t>Absorbance</t>
  </si>
  <si>
    <t>In Dr Chowdhury's Lab</t>
  </si>
  <si>
    <t>In Dr Debby's Lab</t>
  </si>
  <si>
    <t>Wavlength</t>
  </si>
  <si>
    <t>635 nm</t>
  </si>
  <si>
    <t>610 nm</t>
  </si>
  <si>
    <t>Wavelength</t>
  </si>
  <si>
    <r>
      <t>V</t>
    </r>
    <r>
      <rPr>
        <vertAlign val="subscript"/>
        <sz val="11"/>
        <color theme="1"/>
        <rFont val="Calibri"/>
        <family val="2"/>
        <scheme val="minor"/>
      </rPr>
      <t xml:space="preserve">w </t>
    </r>
    <r>
      <rPr>
        <sz val="11"/>
        <color theme="1"/>
        <rFont val="Calibri"/>
        <family val="2"/>
        <scheme val="minor"/>
      </rPr>
      <t>=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50 mL</t>
    </r>
  </si>
  <si>
    <r>
      <t>NH</t>
    </r>
    <r>
      <rPr>
        <vertAlign val="subscript"/>
        <sz val="11"/>
        <color theme="1"/>
        <rFont val="Calibri"/>
        <family val="2"/>
        <scheme val="minor"/>
      </rPr>
      <t xml:space="preserve">3(aq) </t>
    </r>
    <r>
      <rPr>
        <sz val="11"/>
        <color theme="1"/>
        <rFont val="Calibri"/>
        <family val="2"/>
        <scheme val="minor"/>
      </rPr>
      <t>= 1 mL</t>
    </r>
  </si>
  <si>
    <t>Calibration 1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</si>
  <si>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 xml:space="preserve">exp </t>
    </r>
    <r>
      <rPr>
        <b/>
        <sz val="11"/>
        <color theme="1"/>
        <rFont val="Calibri"/>
        <family val="2"/>
        <scheme val="minor"/>
      </rPr>
      <t>(mg/L)</t>
    </r>
  </si>
  <si>
    <t>150, pH 2.2</t>
  </si>
  <si>
    <t>150, pH 2.2, NaCl</t>
  </si>
  <si>
    <t>500, pH 2.2, NaCl</t>
  </si>
  <si>
    <t>500, pH 4</t>
  </si>
  <si>
    <t>150, pH 4</t>
  </si>
  <si>
    <t>500, pH 4, NaCl</t>
  </si>
  <si>
    <t>150, pH 4, NaCl</t>
  </si>
  <si>
    <t>500, pH 2.2</t>
  </si>
  <si>
    <t>A (after 4 days)</t>
  </si>
  <si>
    <t>14/09/2020 - 18/09/2020 @ 45 C</t>
  </si>
  <si>
    <r>
      <t>V</t>
    </r>
    <r>
      <rPr>
        <vertAlign val="subscript"/>
        <sz val="11"/>
        <color theme="1"/>
        <rFont val="Calibri"/>
        <family val="2"/>
        <scheme val="minor"/>
      </rPr>
      <t xml:space="preserve">w </t>
    </r>
    <r>
      <rPr>
        <sz val="11"/>
        <color theme="1"/>
        <rFont val="Calibri"/>
        <family val="2"/>
        <scheme val="minor"/>
      </rPr>
      <t>=</t>
    </r>
    <r>
      <rPr>
        <vertAlign val="subscript"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50 mL, RPM = 150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</si>
  <si>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</si>
  <si>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%R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</si>
  <si>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(mg/g)</t>
    </r>
  </si>
  <si>
    <t>Other Concentration</t>
  </si>
  <si>
    <t>In Dr Debby's Lab (to be used)</t>
  </si>
  <si>
    <t>150 mg/L</t>
  </si>
  <si>
    <t>Abs</t>
  </si>
  <si>
    <t>Std</t>
  </si>
  <si>
    <t>Avg (Abs)</t>
  </si>
  <si>
    <r>
      <t>T (</t>
    </r>
    <r>
      <rPr>
        <b/>
        <sz val="11"/>
        <color theme="1"/>
        <rFont val="Times New Roman"/>
        <family val="1"/>
      </rPr>
      <t>°</t>
    </r>
    <r>
      <rPr>
        <b/>
        <sz val="11"/>
        <color theme="1"/>
        <rFont val="Calibri"/>
        <family val="2"/>
        <scheme val="minor"/>
      </rPr>
      <t>C)</t>
    </r>
  </si>
  <si>
    <r>
      <t>%S</t>
    </r>
    <r>
      <rPr>
        <b/>
        <vertAlign val="subscript"/>
        <sz val="11"/>
        <color theme="1"/>
        <rFont val="Calibri"/>
        <family val="2"/>
        <scheme val="minor"/>
      </rPr>
      <t>Cu</t>
    </r>
  </si>
  <si>
    <t>pH = 5</t>
  </si>
  <si>
    <t>CAS (mg/L)</t>
  </si>
  <si>
    <t>300 mg/L</t>
  </si>
  <si>
    <t>400 mg/L</t>
  </si>
  <si>
    <t>500 mg/L</t>
  </si>
  <si>
    <t>Dosage (g)</t>
  </si>
  <si>
    <r>
      <t>t</t>
    </r>
    <r>
      <rPr>
        <vertAlign val="subscript"/>
        <sz val="11"/>
        <color theme="1"/>
        <rFont val="Calibri"/>
        <family val="2"/>
        <scheme val="minor"/>
      </rPr>
      <t xml:space="preserve">eq </t>
    </r>
    <r>
      <rPr>
        <sz val="11"/>
        <color theme="1"/>
        <rFont val="Calibri"/>
        <family val="2"/>
        <scheme val="minor"/>
      </rPr>
      <t>= 60 min</t>
    </r>
  </si>
  <si>
    <t>C (mg/L)</t>
  </si>
  <si>
    <r>
      <t>C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 xml:space="preserve"> (mg/L)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</si>
  <si>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>(mg/g)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</si>
  <si>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>(mg/L)</t>
    </r>
  </si>
  <si>
    <r>
      <t>C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/q</t>
    </r>
    <r>
      <rPr>
        <b/>
        <vertAlign val="subscript"/>
        <sz val="11"/>
        <color theme="1"/>
        <rFont val="Calibri"/>
        <family val="2"/>
        <scheme val="minor"/>
      </rPr>
      <t xml:space="preserve">e </t>
    </r>
    <r>
      <rPr>
        <b/>
        <sz val="11"/>
        <color theme="1"/>
        <rFont val="Calibri"/>
        <family val="2"/>
        <scheme val="minor"/>
      </rPr>
      <t>(g/L)</t>
    </r>
  </si>
  <si>
    <r>
      <t>log q</t>
    </r>
    <r>
      <rPr>
        <b/>
        <vertAlign val="subscript"/>
        <sz val="11"/>
        <color theme="1"/>
        <rFont val="Calibri"/>
        <family val="2"/>
        <scheme val="minor"/>
      </rPr>
      <t>e</t>
    </r>
  </si>
  <si>
    <r>
      <t>log C</t>
    </r>
    <r>
      <rPr>
        <b/>
        <vertAlign val="subscript"/>
        <sz val="11"/>
        <color theme="1"/>
        <rFont val="Calibri"/>
        <family val="2"/>
        <scheme val="minor"/>
      </rPr>
      <t>e</t>
    </r>
  </si>
  <si>
    <t>Langmuir</t>
  </si>
  <si>
    <t>Freundlich</t>
  </si>
  <si>
    <t>Isotherm models</t>
  </si>
  <si>
    <t>Sorption Parameters</t>
  </si>
  <si>
    <t>T (K)</t>
  </si>
  <si>
    <t>b (L/mg)</t>
  </si>
  <si>
    <t>n</t>
  </si>
  <si>
    <t>Langmuir isotherm parameters</t>
  </si>
  <si>
    <t>Freundlich isotherm parameters</t>
  </si>
  <si>
    <t>1/T</t>
  </si>
  <si>
    <r>
      <t>Slope (1/q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>)</t>
    </r>
  </si>
  <si>
    <r>
      <t>Intercept (1/q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>b)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</si>
  <si>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(mg/g)</t>
    </r>
  </si>
  <si>
    <r>
      <rPr>
        <b/>
        <i/>
        <sz val="11"/>
        <color theme="1"/>
        <rFont val="Calibri"/>
        <family val="2"/>
        <scheme val="minor"/>
      </rP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</si>
  <si>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Slope (1/</t>
    </r>
    <r>
      <rPr>
        <b/>
        <i/>
        <sz val="11"/>
        <color theme="1"/>
        <rFont val="Calibri"/>
        <family val="2"/>
        <scheme val="minor"/>
      </rPr>
      <t>n</t>
    </r>
    <r>
      <rPr>
        <b/>
        <i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)</t>
    </r>
  </si>
  <si>
    <r>
      <t xml:space="preserve">Intercept (log </t>
    </r>
    <r>
      <rPr>
        <b/>
        <i/>
        <sz val="11"/>
        <color theme="1"/>
        <rFont val="Calibri"/>
        <family val="2"/>
        <scheme val="minor"/>
      </rPr>
      <t>K</t>
    </r>
    <r>
      <rPr>
        <b/>
        <i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>)</t>
    </r>
  </si>
  <si>
    <r>
      <rPr>
        <b/>
        <i/>
        <sz val="11"/>
        <color theme="1"/>
        <rFont val="Calibri"/>
        <family val="2"/>
        <scheme val="minor"/>
      </rPr>
      <t>K</t>
    </r>
    <r>
      <rPr>
        <b/>
        <i/>
        <vertAlign val="subscript"/>
        <sz val="11"/>
        <color theme="1"/>
        <rFont val="Calibri"/>
        <family val="2"/>
        <scheme val="minor"/>
      </rPr>
      <t>f</t>
    </r>
    <r>
      <rPr>
        <b/>
        <sz val="11"/>
        <color theme="1"/>
        <rFont val="Calibri"/>
        <family val="2"/>
        <scheme val="minor"/>
      </rPr>
      <t xml:space="preserve"> (mg/g)</t>
    </r>
  </si>
  <si>
    <t xml:space="preserve">400 mg/L 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</si>
  <si>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 xml:space="preserve">D </t>
    </r>
    <r>
      <rPr>
        <b/>
        <sz val="11"/>
        <color theme="1"/>
        <rFont val="Calibri"/>
        <family val="2"/>
        <scheme val="minor"/>
      </rPr>
      <t>= 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/C</t>
    </r>
    <r>
      <rPr>
        <b/>
        <vertAlign val="subscript"/>
        <sz val="11"/>
        <color theme="1"/>
        <rFont val="Calibri"/>
        <family val="2"/>
        <scheme val="minor"/>
      </rPr>
      <t>e</t>
    </r>
  </si>
  <si>
    <r>
      <t>ln K</t>
    </r>
    <r>
      <rPr>
        <b/>
        <vertAlign val="subscript"/>
        <sz val="11"/>
        <color theme="1"/>
        <rFont val="Calibri"/>
        <family val="2"/>
        <scheme val="minor"/>
      </rPr>
      <t>D</t>
    </r>
  </si>
  <si>
    <t>Initial Concentration (mg/L)</t>
  </si>
  <si>
    <r>
      <t>∆H</t>
    </r>
    <r>
      <rPr>
        <b/>
        <sz val="11"/>
        <color theme="1"/>
        <rFont val="Times New Roman"/>
        <family val="1"/>
      </rPr>
      <t>° (kJ/mol)</t>
    </r>
  </si>
  <si>
    <t>Intercept (∆S°/R)</t>
  </si>
  <si>
    <r>
      <t>∆S</t>
    </r>
    <r>
      <rPr>
        <b/>
        <sz val="11"/>
        <color theme="1"/>
        <rFont val="Times New Roman"/>
        <family val="1"/>
      </rPr>
      <t>° (kJ/mol K)</t>
    </r>
  </si>
  <si>
    <t>Slope (-∆H°/R)</t>
  </si>
  <si>
    <r>
      <t>∆G</t>
    </r>
    <r>
      <rPr>
        <b/>
        <sz val="11"/>
        <color theme="1"/>
        <rFont val="Times New Roman"/>
        <family val="1"/>
      </rPr>
      <t>° (kJ/mol) at different temperatures (K)</t>
    </r>
  </si>
  <si>
    <t>Time (min)</t>
  </si>
  <si>
    <r>
      <t xml:space="preserve">T = 30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</si>
  <si>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 xml:space="preserve"> (mg/g)</t>
    </r>
  </si>
  <si>
    <r>
      <t>t</t>
    </r>
    <r>
      <rPr>
        <b/>
        <vertAlign val="subscript"/>
        <sz val="11"/>
        <color theme="1"/>
        <rFont val="Calibri"/>
        <family val="2"/>
        <scheme val="minor"/>
      </rPr>
      <t>eq</t>
    </r>
  </si>
  <si>
    <t>%Removal</t>
  </si>
  <si>
    <r>
      <t>ln (q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-q</t>
    </r>
    <r>
      <rPr>
        <b/>
        <vertAlign val="subscript"/>
        <sz val="11"/>
        <color theme="1"/>
        <rFont val="Calibri"/>
        <family val="2"/>
        <scheme val="minor"/>
      </rPr>
      <t>t</t>
    </r>
    <r>
      <rPr>
        <b/>
        <sz val="11"/>
        <color theme="1"/>
        <rFont val="Calibri"/>
        <family val="2"/>
        <scheme val="minor"/>
      </rPr>
      <t>)</t>
    </r>
  </si>
  <si>
    <r>
      <t>t/q</t>
    </r>
    <r>
      <rPr>
        <b/>
        <vertAlign val="subscript"/>
        <sz val="11"/>
        <color theme="1"/>
        <rFont val="Calibri"/>
        <family val="2"/>
        <scheme val="minor"/>
      </rPr>
      <t>t</t>
    </r>
  </si>
  <si>
    <r>
      <t>t</t>
    </r>
    <r>
      <rPr>
        <b/>
        <vertAlign val="superscript"/>
        <sz val="11"/>
        <color theme="1"/>
        <rFont val="Calibri"/>
        <family val="2"/>
        <scheme val="minor"/>
      </rPr>
      <t>1/2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</si>
  <si>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t</t>
    </r>
  </si>
  <si>
    <t>ln t</t>
  </si>
  <si>
    <t>KINETIC MODELS</t>
  </si>
  <si>
    <t>Intra-particle diffusion</t>
  </si>
  <si>
    <t xml:space="preserve">Elovich </t>
  </si>
  <si>
    <t>Intra-particle diffusion parameters</t>
  </si>
  <si>
    <r>
      <t>Slope (K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,</t>
    </r>
    <r>
      <rPr>
        <b/>
        <vertAlign val="sub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min</t>
    </r>
    <r>
      <rPr>
        <b/>
        <vertAlign val="superscript"/>
        <sz val="11"/>
        <color theme="1"/>
        <rFont val="Calibri"/>
        <family val="2"/>
        <scheme val="minor"/>
      </rPr>
      <t>-1</t>
    </r>
    <r>
      <rPr>
        <b/>
        <sz val="11"/>
        <color theme="1"/>
        <rFont val="Calibri"/>
        <family val="2"/>
        <scheme val="minor"/>
      </rPr>
      <t>)</t>
    </r>
  </si>
  <si>
    <r>
      <t>Intercept (ln 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)</t>
    </r>
  </si>
  <si>
    <r>
      <t>R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</si>
  <si>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Slope (1/q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sz val="11"/>
        <color theme="1"/>
        <rFont val="Calibri"/>
        <family val="2"/>
        <scheme val="minor"/>
      </rPr>
      <t>, g/mg.min)</t>
    </r>
  </si>
  <si>
    <r>
      <t>Intercept (1/K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</si>
  <si>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r>
      <t>K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(g/mg min)</t>
    </r>
  </si>
  <si>
    <t>Slope (1/b)</t>
  </si>
  <si>
    <t>Intercept (1/b ln(ab))</t>
  </si>
  <si>
    <t>Elovich parameters</t>
  </si>
  <si>
    <r>
      <t>Slope (K</t>
    </r>
    <r>
      <rPr>
        <b/>
        <vertAlign val="subscript"/>
        <sz val="11"/>
        <color theme="1"/>
        <rFont val="Calibri"/>
        <family val="2"/>
        <scheme val="minor"/>
      </rPr>
      <t>int</t>
    </r>
    <r>
      <rPr>
        <b/>
        <sz val="11"/>
        <color theme="1"/>
        <rFont val="Calibri"/>
        <family val="2"/>
        <scheme val="minor"/>
      </rPr>
      <t>, mg/g min</t>
    </r>
    <r>
      <rPr>
        <b/>
        <vertAlign val="superscript"/>
        <sz val="11"/>
        <color theme="1"/>
        <rFont val="Calibri"/>
        <family val="2"/>
        <scheme val="minor"/>
      </rPr>
      <t>0.5</t>
    </r>
    <r>
      <rPr>
        <b/>
        <sz val="11"/>
        <color theme="1"/>
        <rFont val="Calibri"/>
        <family val="2"/>
        <scheme val="minor"/>
      </rPr>
      <t>)</t>
    </r>
  </si>
  <si>
    <t>b (g/mg)</t>
  </si>
  <si>
    <t>a (mg/g min)</t>
  </si>
  <si>
    <t>Data for van't Hoff plot</t>
  </si>
  <si>
    <t>Temperature/Initial conc</t>
  </si>
  <si>
    <t>Pseudo-first-order</t>
  </si>
  <si>
    <t xml:space="preserve">Pseudo-second-order </t>
  </si>
  <si>
    <t>Pseudo-second-order parameters</t>
  </si>
  <si>
    <t>Pseudo-first-order parameters</t>
  </si>
  <si>
    <t>Pseudo-second-order</t>
  </si>
  <si>
    <r>
      <t>q</t>
    </r>
    <r>
      <rPr>
        <b/>
        <vertAlign val="subscript"/>
        <sz val="11"/>
        <color theme="1"/>
        <rFont val="Calibri"/>
        <family val="2"/>
        <scheme val="minor"/>
      </rPr>
      <t>e,exp</t>
    </r>
    <r>
      <rPr>
        <b/>
        <sz val="11"/>
        <color theme="1"/>
        <rFont val="Calibri"/>
        <family val="2"/>
        <scheme val="minor"/>
      </rPr>
      <t xml:space="preserve"> (mg/g)</t>
    </r>
  </si>
  <si>
    <r>
      <t>q</t>
    </r>
    <r>
      <rPr>
        <b/>
        <vertAlign val="subscript"/>
        <sz val="11"/>
        <color theme="1"/>
        <rFont val="Calibri"/>
        <family val="2"/>
        <scheme val="minor"/>
      </rPr>
      <t>e,cal</t>
    </r>
    <r>
      <rPr>
        <b/>
        <sz val="11"/>
        <color theme="1"/>
        <rFont val="Calibri"/>
        <family val="2"/>
        <scheme val="minor"/>
      </rPr>
      <t xml:space="preserve"> (mg/g)</t>
    </r>
  </si>
  <si>
    <t>Intercept (a, mg/g)</t>
  </si>
  <si>
    <t>Elovich</t>
  </si>
  <si>
    <t>1/b (mg/g)</t>
  </si>
  <si>
    <t>a (mg/g)</t>
  </si>
  <si>
    <t>Temperature (K)</t>
  </si>
  <si>
    <r>
      <t>R</t>
    </r>
    <r>
      <rPr>
        <vertAlign val="subscript"/>
        <sz val="11"/>
        <color theme="1"/>
        <rFont val="Calibri"/>
        <family val="2"/>
        <scheme val="minor"/>
      </rPr>
      <t>L</t>
    </r>
  </si>
  <si>
    <t>Thermodynamic Parameters</t>
  </si>
  <si>
    <t>Separation factor fo Langmuir isotherm</t>
  </si>
  <si>
    <t>J/mol</t>
  </si>
  <si>
    <r>
      <t>E</t>
    </r>
    <r>
      <rPr>
        <b/>
        <vertAlign val="subscript"/>
        <sz val="11"/>
        <color theme="1"/>
        <rFont val="Calibri"/>
        <family val="2"/>
        <scheme val="minor"/>
      </rPr>
      <t>a</t>
    </r>
  </si>
  <si>
    <r>
      <t>ln k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</si>
  <si>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Temp C</t>
  </si>
  <si>
    <t>Time (min)/Temp C</t>
  </si>
  <si>
    <r>
      <t xml:space="preserve">T = 55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</si>
  <si>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r>
      <t xml:space="preserve">T = 50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</si>
  <si>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r>
      <t xml:space="preserve">T = 45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</si>
  <si>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r>
      <t xml:space="preserve">T = 40 </t>
    </r>
    <r>
      <rPr>
        <sz val="11"/>
        <color theme="1"/>
        <rFont val="Times New Roman"/>
        <family val="1"/>
      </rPr>
      <t>°</t>
    </r>
    <r>
      <rPr>
        <sz val="11"/>
        <color theme="1"/>
        <rFont val="Calibri"/>
        <family val="2"/>
        <scheme val="minor"/>
      </rPr>
      <t>C</t>
    </r>
  </si>
  <si>
    <t>20.61 kJ/mol</t>
  </si>
  <si>
    <t>kJ/mol</t>
  </si>
  <si>
    <t>R (J/mol K) =</t>
  </si>
  <si>
    <t>ln A</t>
  </si>
  <si>
    <t>Intercept =</t>
  </si>
  <si>
    <t>-Ea/R</t>
  </si>
  <si>
    <t>Slope =</t>
  </si>
  <si>
    <t>Arrhenius plot</t>
  </si>
  <si>
    <r>
      <t>k</t>
    </r>
    <r>
      <rPr>
        <b/>
        <vertAlign val="subscript"/>
        <sz val="11"/>
        <color theme="1"/>
        <rFont val="Calibri"/>
        <family val="2"/>
        <scheme val="minor"/>
      </rPr>
      <t xml:space="preserve">2 </t>
    </r>
    <r>
      <rPr>
        <b/>
        <sz val="11"/>
        <color theme="1"/>
        <rFont val="Calibri"/>
        <family val="2"/>
        <scheme val="minor"/>
      </rPr>
      <t>(g/mg min)</t>
    </r>
  </si>
  <si>
    <r>
      <t>Intercept (1/k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q</t>
    </r>
    <r>
      <rPr>
        <b/>
        <vertAlign val="subscript"/>
        <sz val="11"/>
        <color theme="1"/>
        <rFont val="Calibri"/>
        <family val="2"/>
        <scheme val="minor"/>
      </rPr>
      <t>e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)</t>
    </r>
  </si>
  <si>
    <t>Data derived from the linear 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</si>
</sst>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Times New Roman"/>
      <family val="1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4" fontId="1" fillId="0" borderId="0" xfId="0" applyNumberFormat="1" applyFont="1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" xfId="0" applyFill="1" applyBorder="1"/>
    <xf numFmtId="0" fontId="1" fillId="4" borderId="5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0" fillId="4" borderId="9" xfId="0" applyFill="1" applyBorder="1"/>
    <xf numFmtId="0" fontId="1" fillId="6" borderId="7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0" fillId="6" borderId="1" xfId="0" applyFill="1" applyBorder="1"/>
    <xf numFmtId="0" fontId="0" fillId="6" borderId="9" xfId="0" applyFill="1" applyBorder="1"/>
    <xf numFmtId="0" fontId="0" fillId="5" borderId="1" xfId="0" applyFill="1" applyBorder="1"/>
    <xf numFmtId="0" fontId="0" fillId="5" borderId="3" xfId="0" applyFill="1" applyBorder="1"/>
    <xf numFmtId="0" fontId="0" fillId="5" borderId="9" xfId="0" applyFill="1" applyBorder="1"/>
    <xf numFmtId="0" fontId="0" fillId="5" borderId="10" xfId="0" applyFill="1" applyBorder="1"/>
    <xf numFmtId="0" fontId="1" fillId="5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2" borderId="1" xfId="0" applyFill="1" applyBorder="1"/>
    <xf numFmtId="0" fontId="0" fillId="2" borderId="9" xfId="0" applyFill="1" applyBorder="1"/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0" fillId="4" borderId="3" xfId="0" applyFill="1" applyBorder="1"/>
    <xf numFmtId="0" fontId="0" fillId="4" borderId="10" xfId="0" applyFill="1" applyBorder="1"/>
    <xf numFmtId="0" fontId="0" fillId="6" borderId="3" xfId="0" applyFill="1" applyBorder="1"/>
    <xf numFmtId="0" fontId="0" fillId="6" borderId="10" xfId="0" applyFill="1" applyBorder="1"/>
    <xf numFmtId="0" fontId="1" fillId="4" borderId="13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1" fillId="6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horizontal="center"/>
    </xf>
    <xf numFmtId="0" fontId="1" fillId="6" borderId="11" xfId="0" applyFont="1" applyFill="1" applyBorder="1" applyAlignment="1">
      <alignment horizontal="center" vertical="center"/>
    </xf>
    <xf numFmtId="0" fontId="0" fillId="6" borderId="11" xfId="0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/>
    </xf>
    <xf numFmtId="0" fontId="1" fillId="4" borderId="11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/>
    </xf>
    <xf numFmtId="0" fontId="1" fillId="8" borderId="12" xfId="0" applyFont="1" applyFill="1" applyBorder="1" applyAlignment="1">
      <alignment horizontal="center" vertical="center"/>
    </xf>
    <xf numFmtId="0" fontId="0" fillId="8" borderId="0" xfId="0" applyFill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1" fillId="8" borderId="2" xfId="0" applyFont="1" applyFill="1" applyBorder="1" applyAlignment="1">
      <alignment horizontal="center" vertical="center"/>
    </xf>
    <xf numFmtId="0" fontId="1" fillId="8" borderId="11" xfId="0" applyFont="1" applyFill="1" applyBorder="1" applyAlignment="1">
      <alignment horizontal="center" vertical="center"/>
    </xf>
    <xf numFmtId="0" fontId="0" fillId="8" borderId="8" xfId="0" applyFill="1" applyBorder="1" applyAlignment="1">
      <alignment horizontal="center"/>
    </xf>
    <xf numFmtId="0" fontId="0" fillId="8" borderId="9" xfId="0" applyFill="1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1" fillId="0" borderId="0" xfId="0" applyFont="1" applyFill="1"/>
    <xf numFmtId="0" fontId="0" fillId="8" borderId="3" xfId="0" applyFill="1" applyBorder="1"/>
    <xf numFmtId="0" fontId="0" fillId="8" borderId="10" xfId="0" applyFill="1" applyBorder="1"/>
    <xf numFmtId="0" fontId="1" fillId="8" borderId="7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10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1" fillId="6" borderId="15" xfId="0" applyFont="1" applyFill="1" applyBorder="1" applyAlignment="1">
      <alignment horizontal="center"/>
    </xf>
    <xf numFmtId="0" fontId="0" fillId="0" borderId="0" xfId="0" applyAlignment="1">
      <alignment vertical="center"/>
    </xf>
    <xf numFmtId="0" fontId="9" fillId="2" borderId="15" xfId="0" applyFon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11" xfId="0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0" fillId="4" borderId="0" xfId="0" applyFill="1"/>
    <xf numFmtId="0" fontId="1" fillId="10" borderId="15" xfId="0" applyFont="1" applyFill="1" applyBorder="1" applyAlignment="1">
      <alignment horizontal="center"/>
    </xf>
    <xf numFmtId="0" fontId="1" fillId="10" borderId="14" xfId="0" applyFont="1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6" borderId="0" xfId="0" applyFill="1"/>
    <xf numFmtId="0" fontId="0" fillId="6" borderId="3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6" borderId="1" xfId="0" applyFont="1" applyFill="1" applyBorder="1"/>
    <xf numFmtId="0" fontId="1" fillId="5" borderId="1" xfId="0" applyFont="1" applyFill="1" applyBorder="1"/>
    <xf numFmtId="0" fontId="1" fillId="2" borderId="1" xfId="0" applyFont="1" applyFill="1" applyBorder="1"/>
    <xf numFmtId="0" fontId="1" fillId="4" borderId="1" xfId="0" applyFont="1" applyFill="1" applyBorder="1"/>
    <xf numFmtId="0" fontId="1" fillId="2" borderId="3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3" xfId="0" applyBorder="1"/>
    <xf numFmtId="0" fontId="0" fillId="4" borderId="7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5" borderId="0" xfId="0" applyFill="1" applyBorder="1"/>
    <xf numFmtId="0" fontId="0" fillId="5" borderId="8" xfId="0" applyFill="1" applyBorder="1"/>
    <xf numFmtId="0" fontId="0" fillId="4" borderId="13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5" xfId="0" applyFont="1" applyFill="1" applyBorder="1" applyAlignment="1">
      <alignment horizontal="center"/>
    </xf>
    <xf numFmtId="0" fontId="0" fillId="7" borderId="4" xfId="0" applyFont="1" applyFill="1" applyBorder="1" applyAlignment="1">
      <alignment horizontal="center"/>
    </xf>
    <xf numFmtId="0" fontId="0" fillId="7" borderId="6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0" fillId="7" borderId="0" xfId="0" applyFont="1" applyFill="1" applyBorder="1" applyAlignment="1">
      <alignment horizontal="center"/>
    </xf>
    <xf numFmtId="0" fontId="0" fillId="7" borderId="3" xfId="0" applyFont="1" applyFill="1" applyBorder="1" applyAlignment="1">
      <alignment horizontal="center"/>
    </xf>
    <xf numFmtId="0" fontId="0" fillId="7" borderId="9" xfId="0" applyFont="1" applyFill="1" applyBorder="1" applyAlignment="1">
      <alignment horizontal="center"/>
    </xf>
    <xf numFmtId="0" fontId="0" fillId="7" borderId="8" xfId="0" applyFont="1" applyFill="1" applyBorder="1" applyAlignment="1">
      <alignment horizontal="center"/>
    </xf>
    <xf numFmtId="0" fontId="0" fillId="7" borderId="10" xfId="0" applyFont="1" applyFill="1" applyBorder="1" applyAlignment="1">
      <alignment horizontal="center"/>
    </xf>
    <xf numFmtId="0" fontId="11" fillId="8" borderId="3" xfId="0" applyFont="1" applyFill="1" applyBorder="1"/>
    <xf numFmtId="0" fontId="11" fillId="8" borderId="10" xfId="0" applyFont="1" applyFill="1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12" borderId="14" xfId="0" applyFont="1" applyFill="1" applyBorder="1" applyAlignment="1">
      <alignment horizontal="center"/>
    </xf>
    <xf numFmtId="0" fontId="0" fillId="12" borderId="3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12" borderId="3" xfId="0" applyFill="1" applyBorder="1"/>
    <xf numFmtId="0" fontId="0" fillId="12" borderId="10" xfId="0" applyFill="1" applyBorder="1"/>
    <xf numFmtId="0" fontId="1" fillId="6" borderId="7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0" fillId="0" borderId="0" xfId="0" applyFill="1" applyBorder="1"/>
    <xf numFmtId="0" fontId="1" fillId="6" borderId="9" xfId="0" applyFont="1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14" borderId="5" xfId="0" applyFill="1" applyBorder="1"/>
    <xf numFmtId="0" fontId="0" fillId="14" borderId="9" xfId="0" applyFill="1" applyBorder="1"/>
    <xf numFmtId="0" fontId="0" fillId="14" borderId="1" xfId="0" applyFill="1" applyBorder="1" applyAlignment="1">
      <alignment horizontal="center"/>
    </xf>
    <xf numFmtId="0" fontId="0" fillId="14" borderId="9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3" xfId="0" applyFill="1" applyBorder="1" applyAlignment="1">
      <alignment horizontal="center"/>
    </xf>
    <xf numFmtId="0" fontId="0" fillId="6" borderId="0" xfId="0" applyFill="1" applyBorder="1"/>
    <xf numFmtId="0" fontId="0" fillId="2" borderId="15" xfId="0" applyFill="1" applyBorder="1"/>
    <xf numFmtId="0" fontId="0" fillId="5" borderId="15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9" borderId="13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1" fillId="9" borderId="14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4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13" borderId="13" xfId="0" applyFont="1" applyFill="1" applyBorder="1" applyAlignment="1">
      <alignment horizontal="center"/>
    </xf>
    <xf numFmtId="0" fontId="1" fillId="13" borderId="7" xfId="0" applyFont="1" applyFill="1" applyBorder="1" applyAlignment="1">
      <alignment horizontal="center"/>
    </xf>
    <xf numFmtId="0" fontId="1" fillId="13" borderId="14" xfId="0" applyFont="1" applyFill="1" applyBorder="1" applyAlignment="1">
      <alignment horizontal="center"/>
    </xf>
    <xf numFmtId="0" fontId="9" fillId="10" borderId="13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9" fillId="10" borderId="14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1" fillId="6" borderId="9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1" fillId="8" borderId="15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0" fontId="1" fillId="11" borderId="13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/>
    </xf>
    <xf numFmtId="0" fontId="1" fillId="11" borderId="14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2" fillId="0" borderId="0" xfId="0" applyFont="1"/>
    <xf numFmtId="49" fontId="0" fillId="0" borderId="0" xfId="0" applyNumberFormat="1"/>
    <xf numFmtId="0" fontId="1" fillId="5" borderId="8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0" borderId="0" xfId="0" applyFont="1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30314085739282592"/>
                  <c:y val="0.143518518518518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Sheet1!$B$6:$B$11</c:f>
              <c:numCache>
                <c:formatCode>General</c:formatCode>
                <c:ptCount val="6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</c:numCache>
            </c:numRef>
          </c:xVal>
          <c:yVal>
            <c:numRef>
              <c:f>Sheet1!$C$6:$C$11</c:f>
              <c:numCache>
                <c:formatCode>General</c:formatCode>
                <c:ptCount val="6"/>
                <c:pt idx="0">
                  <c:v>0</c:v>
                </c:pt>
                <c:pt idx="1">
                  <c:v>6.0000000000000001E-3</c:v>
                </c:pt>
                <c:pt idx="2">
                  <c:v>1.2999999999999999E-2</c:v>
                </c:pt>
                <c:pt idx="3">
                  <c:v>1.9E-2</c:v>
                </c:pt>
                <c:pt idx="4">
                  <c:v>2.5000000000000001E-2</c:v>
                </c:pt>
                <c:pt idx="5">
                  <c:v>3.2000000000000001E-2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1658432"/>
        <c:axId val="1056172032"/>
      </c:scatterChart>
      <c:valAx>
        <c:axId val="11516584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172032"/>
        <c:crosses val="autoZero"/>
        <c:crossBetween val="midCat"/>
      </c:valAx>
      <c:valAx>
        <c:axId val="10561720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65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>
                <a:solidFill>
                  <a:sysClr val="windowText" lastClr="000000"/>
                </a:solidFill>
              </a:rPr>
              <a:t>Activation Energy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511373578302712E-3"/>
                  <c:y val="-0.3195833333333333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-2834.4x + 6.0332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0.9822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EoT!$C$129:$C$133</c:f>
              <c:numCache>
                <c:formatCode>General</c:formatCode>
                <c:ptCount val="5"/>
                <c:pt idx="0">
                  <c:v>3.3003300330033004E-3</c:v>
                </c:pt>
                <c:pt idx="1">
                  <c:v>3.1948881789137379E-3</c:v>
                </c:pt>
                <c:pt idx="2">
                  <c:v>3.1446540880503146E-3</c:v>
                </c:pt>
                <c:pt idx="3">
                  <c:v>3.0959752321981426E-3</c:v>
                </c:pt>
                <c:pt idx="4">
                  <c:v>3.0487804878048782E-3</c:v>
                </c:pt>
              </c:numCache>
            </c:numRef>
          </c:xVal>
          <c:yVal>
            <c:numRef>
              <c:f>EoT!$E$129:$E$133</c:f>
              <c:numCache>
                <c:formatCode>General</c:formatCode>
                <c:ptCount val="5"/>
                <c:pt idx="0">
                  <c:v>-3.2886014639718875</c:v>
                </c:pt>
                <c:pt idx="1">
                  <c:v>-3.0706879827716222</c:v>
                </c:pt>
                <c:pt idx="2">
                  <c:v>-2.880047874554529</c:v>
                </c:pt>
                <c:pt idx="3">
                  <c:v>-2.7648710906793981</c:v>
                </c:pt>
                <c:pt idx="4">
                  <c:v>-2.5690574626389684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86656"/>
        <c:axId val="1155781216"/>
      </c:scatterChart>
      <c:valAx>
        <c:axId val="115578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1/T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81216"/>
        <c:crosses val="autoZero"/>
        <c:crossBetween val="midCat"/>
      </c:valAx>
      <c:valAx>
        <c:axId val="11557812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ln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k</a:t>
                </a:r>
                <a:r>
                  <a:rPr lang="en-GB" baseline="-25000">
                    <a:solidFill>
                      <a:sysClr val="windowText" lastClr="000000"/>
                    </a:solidFill>
                  </a:rPr>
                  <a:t>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86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EoD!$K$5:$K$10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EoD!$L$5:$L$10</c:f>
              <c:numCache>
                <c:formatCode>General</c:formatCode>
                <c:ptCount val="6"/>
                <c:pt idx="0">
                  <c:v>28.126984126984127</c:v>
                </c:pt>
                <c:pt idx="1">
                  <c:v>29.714285714285715</c:v>
                </c:pt>
                <c:pt idx="2">
                  <c:v>36.063492063492077</c:v>
                </c:pt>
                <c:pt idx="3">
                  <c:v>40.19047619047619</c:v>
                </c:pt>
                <c:pt idx="4">
                  <c:v>45.269841269841265</c:v>
                </c:pt>
                <c:pt idx="5">
                  <c:v>50.349206349206355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82304"/>
        <c:axId val="1155782848"/>
      </c:scatterChart>
      <c:valAx>
        <c:axId val="1155782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Adsorbent</a:t>
                </a:r>
                <a:r>
                  <a:rPr lang="en-GB" baseline="0">
                    <a:solidFill>
                      <a:schemeClr val="tx1"/>
                    </a:solidFill>
                  </a:rPr>
                  <a:t> dosage</a:t>
                </a:r>
                <a:r>
                  <a:rPr lang="en-GB">
                    <a:solidFill>
                      <a:schemeClr val="tx1"/>
                    </a:solidFill>
                  </a:rPr>
                  <a:t> (g)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82848"/>
        <c:crosses val="autoZero"/>
        <c:crossBetween val="midCat"/>
      </c:valAx>
      <c:valAx>
        <c:axId val="11557828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%Cu(II) Removal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82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EoD!$K$17:$K$22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EoD!$L$17:$L$22</c:f>
              <c:numCache>
                <c:formatCode>General</c:formatCode>
                <c:ptCount val="6"/>
                <c:pt idx="0">
                  <c:v>28.126984126984127</c:v>
                </c:pt>
                <c:pt idx="1">
                  <c:v>29.714285714285715</c:v>
                </c:pt>
                <c:pt idx="2">
                  <c:v>36.063492063492077</c:v>
                </c:pt>
                <c:pt idx="3">
                  <c:v>40.19047619047619</c:v>
                </c:pt>
                <c:pt idx="4">
                  <c:v>45.269841269841265</c:v>
                </c:pt>
                <c:pt idx="5">
                  <c:v>50.349206349206355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EoD!$K$17:$K$22</c:f>
              <c:numCache>
                <c:formatCode>General</c:formatCode>
                <c:ptCount val="6"/>
                <c:pt idx="0">
                  <c:v>0.1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</c:numCache>
            </c:numRef>
          </c:xVal>
          <c:yVal>
            <c:numRef>
              <c:f>EoD!$M$17:$M$22</c:f>
              <c:numCache>
                <c:formatCode>General</c:formatCode>
                <c:ptCount val="6"/>
                <c:pt idx="0">
                  <c:v>2.1095238095238096</c:v>
                </c:pt>
                <c:pt idx="1">
                  <c:v>2.2285714285714286</c:v>
                </c:pt>
                <c:pt idx="2">
                  <c:v>2.7047619047619058</c:v>
                </c:pt>
                <c:pt idx="3">
                  <c:v>3.0142857142857142</c:v>
                </c:pt>
                <c:pt idx="4">
                  <c:v>3.3952380952380952</c:v>
                </c:pt>
                <c:pt idx="5">
                  <c:v>3.776190476190477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23184"/>
        <c:axId val="1156613936"/>
      </c:scatterChart>
      <c:valAx>
        <c:axId val="115662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3936"/>
        <c:crosses val="autoZero"/>
        <c:crossBetween val="midCat"/>
      </c:valAx>
      <c:valAx>
        <c:axId val="1156613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23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EoCT!$E$65</c:f>
              <c:strCache>
                <c:ptCount val="1"/>
                <c:pt idx="0">
                  <c:v>150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EoCT!$D$66:$D$72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120</c:v>
                </c:pt>
              </c:numCache>
            </c:numRef>
          </c:xVal>
          <c:yVal>
            <c:numRef>
              <c:f>EoCT!$E$66:$E$72</c:f>
              <c:numCache>
                <c:formatCode>General</c:formatCode>
                <c:ptCount val="7"/>
                <c:pt idx="0">
                  <c:v>24.317460317460313</c:v>
                </c:pt>
                <c:pt idx="1">
                  <c:v>26.222222222222218</c:v>
                </c:pt>
                <c:pt idx="2">
                  <c:v>31.93650793650794</c:v>
                </c:pt>
                <c:pt idx="3">
                  <c:v>34.476190476190474</c:v>
                </c:pt>
                <c:pt idx="4">
                  <c:v>40.825396825396808</c:v>
                </c:pt>
                <c:pt idx="5">
                  <c:v>44.634920634920618</c:v>
                </c:pt>
                <c:pt idx="6">
                  <c:v>45.587301587301575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EoCT!$F$65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EoCT!$D$66:$D$72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120</c:v>
                </c:pt>
              </c:numCache>
            </c:numRef>
          </c:xVal>
          <c:yVal>
            <c:numRef>
              <c:f>EoCT!$F$66:$F$72</c:f>
              <c:numCache>
                <c:formatCode>General</c:formatCode>
                <c:ptCount val="7"/>
                <c:pt idx="0">
                  <c:v>18.507936507936506</c:v>
                </c:pt>
                <c:pt idx="1">
                  <c:v>20.730158730158735</c:v>
                </c:pt>
                <c:pt idx="2">
                  <c:v>23.746031746031747</c:v>
                </c:pt>
                <c:pt idx="3">
                  <c:v>25.968253968253975</c:v>
                </c:pt>
                <c:pt idx="4">
                  <c:v>28.984126984126995</c:v>
                </c:pt>
                <c:pt idx="5">
                  <c:v>32.317460317460331</c:v>
                </c:pt>
                <c:pt idx="6">
                  <c:v>32.634920634920647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EoCT!$G$65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EoCT!$D$66:$D$72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120</c:v>
                </c:pt>
              </c:numCache>
            </c:numRef>
          </c:xVal>
          <c:yVal>
            <c:numRef>
              <c:f>EoCT!$G$66:$G$72</c:f>
              <c:numCache>
                <c:formatCode>General</c:formatCode>
                <c:ptCount val="7"/>
                <c:pt idx="0">
                  <c:v>16.380952380952394</c:v>
                </c:pt>
                <c:pt idx="1">
                  <c:v>19</c:v>
                </c:pt>
                <c:pt idx="2">
                  <c:v>21.38095238095238</c:v>
                </c:pt>
                <c:pt idx="3">
                  <c:v>22.333333333333329</c:v>
                </c:pt>
                <c:pt idx="4">
                  <c:v>25.547619047619051</c:v>
                </c:pt>
                <c:pt idx="5">
                  <c:v>27.333333333333343</c:v>
                </c:pt>
                <c:pt idx="6">
                  <c:v>27.333333333333343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EoCT!$H$65</c:f>
              <c:strCache>
                <c:ptCount val="1"/>
                <c:pt idx="0">
                  <c:v>500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EoCT!$D$66:$D$72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  <c:pt idx="5">
                  <c:v>60</c:v>
                </c:pt>
                <c:pt idx="6">
                  <c:v>120</c:v>
                </c:pt>
              </c:numCache>
            </c:numRef>
          </c:xVal>
          <c:yVal>
            <c:numRef>
              <c:f>EoCT!$H$66:$H$72</c:f>
              <c:numCache>
                <c:formatCode>General</c:formatCode>
                <c:ptCount val="7"/>
                <c:pt idx="0">
                  <c:v>12.819047619047627</c:v>
                </c:pt>
                <c:pt idx="1">
                  <c:v>16.533333333333324</c:v>
                </c:pt>
                <c:pt idx="2">
                  <c:v>17.866666666666649</c:v>
                </c:pt>
                <c:pt idx="3">
                  <c:v>19.2</c:v>
                </c:pt>
                <c:pt idx="4">
                  <c:v>21.104761904761904</c:v>
                </c:pt>
                <c:pt idx="5">
                  <c:v>23.199999999999989</c:v>
                </c:pt>
                <c:pt idx="6">
                  <c:v>23.580952380952375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19376"/>
        <c:axId val="1156614480"/>
      </c:scatterChart>
      <c:valAx>
        <c:axId val="1156619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4480"/>
        <c:crosses val="autoZero"/>
        <c:crossBetween val="midCat"/>
      </c:valAx>
      <c:valAx>
        <c:axId val="115661448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%Removal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93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4533333333333338"/>
          <c:y val="0.43981481481481483"/>
          <c:w val="0.12133333333333333"/>
          <c:h val="0.312502187226596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Pseudo-first-order</a:t>
            </a:r>
          </a:p>
        </c:rich>
      </c:tx>
      <c:layout>
        <c:manualLayout>
          <c:xMode val="edge"/>
          <c:yMode val="edge"/>
          <c:x val="0.41653115831856163"/>
          <c:y val="6.29921259842519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EoCT!$C$81</c:f>
              <c:strCache>
                <c:ptCount val="1"/>
                <c:pt idx="0">
                  <c:v>150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222295427482884"/>
                  <c:y val="6.44235371571965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EoCT!$C$82:$C$86</c:f>
              <c:numCache>
                <c:formatCode>General</c:formatCode>
                <c:ptCount val="5"/>
                <c:pt idx="0">
                  <c:v>0.4212134650763032</c:v>
                </c:pt>
                <c:pt idx="1">
                  <c:v>0.32277339226305052</c:v>
                </c:pt>
                <c:pt idx="2">
                  <c:v>-4.8790164169433221E-2</c:v>
                </c:pt>
                <c:pt idx="3">
                  <c:v>-0.27193371548364242</c:v>
                </c:pt>
                <c:pt idx="4">
                  <c:v>-1.2527629684953669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EoCT!$D$81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30438270687862"/>
                  <c:y val="9.976021543313039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EoCT!$D$82:$D$86</c:f>
              <c:numCache>
                <c:formatCode>General</c:formatCode>
                <c:ptCount val="5"/>
                <c:pt idx="0">
                  <c:v>0.72823850037121662</c:v>
                </c:pt>
                <c:pt idx="1">
                  <c:v>0.55278982286502365</c:v>
                </c:pt>
                <c:pt idx="2">
                  <c:v>0.25131442828090772</c:v>
                </c:pt>
                <c:pt idx="3">
                  <c:v>-4.879016416943089E-2</c:v>
                </c:pt>
                <c:pt idx="4">
                  <c:v>-0.69314718055994529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EoCT!$E$81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4052810379834595"/>
                  <c:y val="-7.851666763825601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EoCT!$E$82:$E$86</c:f>
              <c:numCache>
                <c:formatCode>General</c:formatCode>
                <c:ptCount val="5"/>
                <c:pt idx="0">
                  <c:v>0.78411895876567173</c:v>
                </c:pt>
                <c:pt idx="1">
                  <c:v>0.51082562376599161</c:v>
                </c:pt>
                <c:pt idx="2">
                  <c:v>0.17435338714477941</c:v>
                </c:pt>
                <c:pt idx="3">
                  <c:v>2.6645352591003721E-15</c:v>
                </c:pt>
                <c:pt idx="4">
                  <c:v>-1.0296194171811568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EoCT!$F$81</c:f>
              <c:strCache>
                <c:ptCount val="1"/>
                <c:pt idx="0">
                  <c:v>500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3549665725746545"/>
                  <c:y val="-8.574059559071579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EoCT!$F$82:$F$86</c:f>
              <c:numCache>
                <c:formatCode>General</c:formatCode>
                <c:ptCount val="5"/>
                <c:pt idx="0">
                  <c:v>0.9536782639457736</c:v>
                </c:pt>
                <c:pt idx="1">
                  <c:v>0.51082562376598983</c:v>
                </c:pt>
                <c:pt idx="2">
                  <c:v>0.28768207245178135</c:v>
                </c:pt>
                <c:pt idx="3">
                  <c:v>-3.5527136788005072E-15</c:v>
                </c:pt>
                <c:pt idx="4">
                  <c:v>-0.64662716492505767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18832"/>
        <c:axId val="1156615024"/>
      </c:scatterChart>
      <c:valAx>
        <c:axId val="1156618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5024"/>
        <c:crosses val="autoZero"/>
        <c:crossBetween val="midCat"/>
      </c:valAx>
      <c:valAx>
        <c:axId val="1156615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ln (q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  <a:r>
                  <a:rPr lang="en-GB">
                    <a:solidFill>
                      <a:schemeClr val="tx1"/>
                    </a:solidFill>
                  </a:rPr>
                  <a:t>-q</a:t>
                </a:r>
                <a:r>
                  <a:rPr lang="en-GB" baseline="-25000">
                    <a:solidFill>
                      <a:schemeClr val="tx1"/>
                    </a:solidFill>
                  </a:rPr>
                  <a:t>t</a:t>
                </a:r>
                <a:r>
                  <a:rPr lang="en-GB">
                    <a:solidFill>
                      <a:schemeClr val="tx1"/>
                    </a:solidFill>
                  </a:rPr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8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Pseudo-second-order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EoCT!$G$81</c:f>
              <c:strCache>
                <c:ptCount val="1"/>
                <c:pt idx="0">
                  <c:v>150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877928407898712"/>
                  <c:y val="-1.798984500341607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EoCT!$G$82:$G$86</c:f>
              <c:numCache>
                <c:formatCode>General</c:formatCode>
                <c:ptCount val="5"/>
                <c:pt idx="0">
                  <c:v>2.7415143603133165</c:v>
                </c:pt>
                <c:pt idx="1">
                  <c:v>5.0847457627118651</c:v>
                </c:pt>
                <c:pt idx="2">
                  <c:v>6.2624254473161027</c:v>
                </c:pt>
                <c:pt idx="3">
                  <c:v>7.7348066298342548</c:v>
                </c:pt>
                <c:pt idx="4">
                  <c:v>13.063763608087097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EoCT!$H$81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343793957004699"/>
                  <c:y val="-9.472866901084099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EoCT!$H$82:$H$86</c:f>
              <c:numCache>
                <c:formatCode>General</c:formatCode>
                <c:ptCount val="5"/>
                <c:pt idx="0">
                  <c:v>1.8010291595197256</c:v>
                </c:pt>
                <c:pt idx="1">
                  <c:v>3.2159264931087281</c:v>
                </c:pt>
                <c:pt idx="2">
                  <c:v>4.2112299465240639</c:v>
                </c:pt>
                <c:pt idx="3">
                  <c:v>5.13447432762836</c:v>
                </c:pt>
                <c:pt idx="4">
                  <c:v>9.2004381161007611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EoCT!$I$81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343793957004699"/>
                  <c:y val="-6.11573467879848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EoCT!$I$82:$I$86</c:f>
              <c:numCache>
                <c:formatCode>General</c:formatCode>
                <c:ptCount val="5"/>
                <c:pt idx="0">
                  <c:v>1.5261627906976731</c:v>
                </c:pt>
                <c:pt idx="1">
                  <c:v>2.6315789473684208</c:v>
                </c:pt>
                <c:pt idx="2">
                  <c:v>3.507795100222717</c:v>
                </c:pt>
                <c:pt idx="3">
                  <c:v>4.477611940298508</c:v>
                </c:pt>
                <c:pt idx="4">
                  <c:v>7.8285181733457572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EoCT!$J$81</c:f>
              <c:strCache>
                <c:ptCount val="1"/>
                <c:pt idx="0">
                  <c:v>500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349802338709794"/>
                  <c:y val="2.21136252001987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EoCT!$B$82:$B$86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EoCT!$J$82:$J$86</c:f>
              <c:numCache>
                <c:formatCode>General</c:formatCode>
                <c:ptCount val="5"/>
                <c:pt idx="0">
                  <c:v>1.5601783060921239</c:v>
                </c:pt>
                <c:pt idx="1">
                  <c:v>2.4193548387096784</c:v>
                </c:pt>
                <c:pt idx="2">
                  <c:v>3.358208955223883</c:v>
                </c:pt>
                <c:pt idx="3">
                  <c:v>4.1666666666666661</c:v>
                </c:pt>
                <c:pt idx="4">
                  <c:v>7.581227436823105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10672"/>
        <c:axId val="1156613392"/>
      </c:scatterChart>
      <c:valAx>
        <c:axId val="11566106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3392"/>
        <c:crosses val="autoZero"/>
        <c:crossBetween val="midCat"/>
      </c:valAx>
      <c:valAx>
        <c:axId val="11566133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t/q</a:t>
                </a:r>
                <a:r>
                  <a:rPr lang="en-GB" baseline="-25000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0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91214505329690931"/>
          <c:y val="0.24338624338624337"/>
          <c:w val="8.045315764100916E-2"/>
          <c:h val="0.357145356830396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150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EoCT!$K$82:$K$86</c:f>
              <c:numCache>
                <c:formatCode>General</c:formatCode>
                <c:ptCount val="5"/>
                <c:pt idx="0">
                  <c:v>2.2360679774997898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4.4721359549995796</c:v>
                </c:pt>
                <c:pt idx="4">
                  <c:v>6.324555320336759</c:v>
                </c:pt>
              </c:numCache>
            </c:numRef>
          </c:xVal>
          <c:yVal>
            <c:numRef>
              <c:f>EoCT!$L$82:$L$86</c:f>
              <c:numCache>
                <c:formatCode>General</c:formatCode>
                <c:ptCount val="5"/>
                <c:pt idx="0">
                  <c:v>1.8238095238095235</c:v>
                </c:pt>
                <c:pt idx="1">
                  <c:v>1.9666666666666666</c:v>
                </c:pt>
                <c:pt idx="2">
                  <c:v>2.3952380952380956</c:v>
                </c:pt>
                <c:pt idx="3">
                  <c:v>2.5857142857142854</c:v>
                </c:pt>
                <c:pt idx="4">
                  <c:v>3.0619047619047608</c:v>
                </c:pt>
              </c:numCache>
            </c:numRef>
          </c:yVal>
          <c:smooth val="0"/>
        </c:ser>
        <c:ser>
          <c:idx val="1"/>
          <c:order val="1"/>
          <c:tx>
            <c:v>300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EoCT!$K$82:$K$86</c:f>
              <c:numCache>
                <c:formatCode>General</c:formatCode>
                <c:ptCount val="5"/>
                <c:pt idx="0">
                  <c:v>2.2360679774997898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4.4721359549995796</c:v>
                </c:pt>
                <c:pt idx="4">
                  <c:v>6.324555320336759</c:v>
                </c:pt>
              </c:numCache>
            </c:numRef>
          </c:xVal>
          <c:yVal>
            <c:numRef>
              <c:f>EoCT!$M$82:$M$86</c:f>
              <c:numCache>
                <c:formatCode>General</c:formatCode>
                <c:ptCount val="5"/>
                <c:pt idx="0">
                  <c:v>2.7761904761904761</c:v>
                </c:pt>
                <c:pt idx="1">
                  <c:v>3.1095238095238105</c:v>
                </c:pt>
                <c:pt idx="2">
                  <c:v>3.5619047619047621</c:v>
                </c:pt>
                <c:pt idx="3">
                  <c:v>3.8952380952380965</c:v>
                </c:pt>
                <c:pt idx="4">
                  <c:v>4.3476190476190499</c:v>
                </c:pt>
              </c:numCache>
            </c:numRef>
          </c:yVal>
          <c:smooth val="0"/>
        </c:ser>
        <c:ser>
          <c:idx val="2"/>
          <c:order val="2"/>
          <c:tx>
            <c:v>400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EoCT!$K$82:$K$86</c:f>
              <c:numCache>
                <c:formatCode>General</c:formatCode>
                <c:ptCount val="5"/>
                <c:pt idx="0">
                  <c:v>2.2360679774997898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4.4721359549995796</c:v>
                </c:pt>
                <c:pt idx="4">
                  <c:v>6.324555320336759</c:v>
                </c:pt>
              </c:numCache>
            </c:numRef>
          </c:xVal>
          <c:yVal>
            <c:numRef>
              <c:f>EoCT!$N$82:$N$86</c:f>
              <c:numCache>
                <c:formatCode>General</c:formatCode>
                <c:ptCount val="5"/>
                <c:pt idx="0">
                  <c:v>3.2761904761904788</c:v>
                </c:pt>
                <c:pt idx="1">
                  <c:v>3.8000000000000003</c:v>
                </c:pt>
                <c:pt idx="2">
                  <c:v>4.2761904761904761</c:v>
                </c:pt>
                <c:pt idx="3">
                  <c:v>4.4666666666666659</c:v>
                </c:pt>
                <c:pt idx="4">
                  <c:v>5.1095238095238109</c:v>
                </c:pt>
              </c:numCache>
            </c:numRef>
          </c:yVal>
          <c:smooth val="0"/>
        </c:ser>
        <c:ser>
          <c:idx val="3"/>
          <c:order val="3"/>
          <c:tx>
            <c:v>500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EoCT!$K$82:$K$86</c:f>
              <c:numCache>
                <c:formatCode>General</c:formatCode>
                <c:ptCount val="5"/>
                <c:pt idx="0">
                  <c:v>2.2360679774997898</c:v>
                </c:pt>
                <c:pt idx="1">
                  <c:v>3.1622776601683795</c:v>
                </c:pt>
                <c:pt idx="2">
                  <c:v>3.872983346207417</c:v>
                </c:pt>
                <c:pt idx="3">
                  <c:v>4.4721359549995796</c:v>
                </c:pt>
                <c:pt idx="4">
                  <c:v>6.324555320336759</c:v>
                </c:pt>
              </c:numCache>
            </c:numRef>
          </c:xVal>
          <c:yVal>
            <c:numRef>
              <c:f>EoCT!$O$82:$O$86</c:f>
              <c:numCache>
                <c:formatCode>General</c:formatCode>
                <c:ptCount val="5"/>
                <c:pt idx="0">
                  <c:v>3.2047619047619067</c:v>
                </c:pt>
                <c:pt idx="1">
                  <c:v>4.133333333333332</c:v>
                </c:pt>
                <c:pt idx="2">
                  <c:v>4.4666666666666632</c:v>
                </c:pt>
                <c:pt idx="3">
                  <c:v>4.8000000000000007</c:v>
                </c:pt>
                <c:pt idx="4">
                  <c:v>5.2761904761904761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22640"/>
        <c:axId val="1156612304"/>
      </c:scatterChart>
      <c:valAx>
        <c:axId val="1156622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</a:t>
                </a:r>
                <a:r>
                  <a:rPr lang="en-GB" baseline="30000">
                    <a:solidFill>
                      <a:schemeClr val="tx1"/>
                    </a:solidFill>
                  </a:rPr>
                  <a:t>1/2 </a:t>
                </a:r>
                <a:endParaRPr lang="en-GB" baseline="0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2304"/>
        <c:crosses val="autoZero"/>
        <c:crossBetween val="midCat"/>
      </c:valAx>
      <c:valAx>
        <c:axId val="1156612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q</a:t>
                </a:r>
                <a:r>
                  <a:rPr lang="en-GB" baseline="-25000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22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9461761611782331"/>
          <c:y val="0.3113414989792942"/>
          <c:w val="8.760454943132108E-2"/>
          <c:h val="0.312502187226596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Elovich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1.8351389320998595E-2"/>
                  <c:y val="0.255847814540718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EoCT!$P$82:$P$86</c:f>
              <c:numCache>
                <c:formatCode>General</c:formatCode>
                <c:ptCount val="5"/>
                <c:pt idx="0">
                  <c:v>1.6094379124341003</c:v>
                </c:pt>
                <c:pt idx="1">
                  <c:v>2.3025850929940459</c:v>
                </c:pt>
                <c:pt idx="2">
                  <c:v>2.7080502011022101</c:v>
                </c:pt>
                <c:pt idx="3">
                  <c:v>2.9957322735539909</c:v>
                </c:pt>
                <c:pt idx="4">
                  <c:v>3.6888794541139363</c:v>
                </c:pt>
              </c:numCache>
            </c:numRef>
          </c:xVal>
          <c:yVal>
            <c:numRef>
              <c:f>EoCT!$Q$82:$Q$86</c:f>
              <c:numCache>
                <c:formatCode>General</c:formatCode>
                <c:ptCount val="5"/>
                <c:pt idx="0">
                  <c:v>1.8238095238095235</c:v>
                </c:pt>
                <c:pt idx="1">
                  <c:v>1.9666666666666666</c:v>
                </c:pt>
                <c:pt idx="2">
                  <c:v>2.3952380952380956</c:v>
                </c:pt>
                <c:pt idx="3">
                  <c:v>2.5857142857142854</c:v>
                </c:pt>
                <c:pt idx="4">
                  <c:v>3.0619047619047608</c:v>
                </c:pt>
              </c:numCache>
            </c:numRef>
          </c:yVal>
          <c:smooth val="0"/>
        </c:ser>
        <c:ser>
          <c:idx val="1"/>
          <c:order val="1"/>
          <c:tx>
            <c:v>300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033137750773903"/>
                  <c:y val="0.350266534527613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EoCT!$P$82:$P$86</c:f>
              <c:numCache>
                <c:formatCode>General</c:formatCode>
                <c:ptCount val="5"/>
                <c:pt idx="0">
                  <c:v>1.6094379124341003</c:v>
                </c:pt>
                <c:pt idx="1">
                  <c:v>2.3025850929940459</c:v>
                </c:pt>
                <c:pt idx="2">
                  <c:v>2.7080502011022101</c:v>
                </c:pt>
                <c:pt idx="3">
                  <c:v>2.9957322735539909</c:v>
                </c:pt>
                <c:pt idx="4">
                  <c:v>3.6888794541139363</c:v>
                </c:pt>
              </c:numCache>
            </c:numRef>
          </c:xVal>
          <c:yVal>
            <c:numRef>
              <c:f>EoCT!$R$82:$R$86</c:f>
              <c:numCache>
                <c:formatCode>General</c:formatCode>
                <c:ptCount val="5"/>
                <c:pt idx="0">
                  <c:v>2.7761904761904761</c:v>
                </c:pt>
                <c:pt idx="1">
                  <c:v>3.1095238095238105</c:v>
                </c:pt>
                <c:pt idx="2">
                  <c:v>3.5619047619047621</c:v>
                </c:pt>
                <c:pt idx="3">
                  <c:v>3.8952380952380965</c:v>
                </c:pt>
                <c:pt idx="4">
                  <c:v>4.3476190476190499</c:v>
                </c:pt>
              </c:numCache>
            </c:numRef>
          </c:yVal>
          <c:smooth val="0"/>
        </c:ser>
        <c:ser>
          <c:idx val="2"/>
          <c:order val="2"/>
          <c:tx>
            <c:v>400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113338247806485"/>
                  <c:y val="0.299212485395416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EoCT!$P$82:$P$86</c:f>
              <c:numCache>
                <c:formatCode>General</c:formatCode>
                <c:ptCount val="5"/>
                <c:pt idx="0">
                  <c:v>1.6094379124341003</c:v>
                </c:pt>
                <c:pt idx="1">
                  <c:v>2.3025850929940459</c:v>
                </c:pt>
                <c:pt idx="2">
                  <c:v>2.7080502011022101</c:v>
                </c:pt>
                <c:pt idx="3">
                  <c:v>2.9957322735539909</c:v>
                </c:pt>
                <c:pt idx="4">
                  <c:v>3.6888794541139363</c:v>
                </c:pt>
              </c:numCache>
            </c:numRef>
          </c:xVal>
          <c:yVal>
            <c:numRef>
              <c:f>EoCT!$S$82:$S$86</c:f>
              <c:numCache>
                <c:formatCode>General</c:formatCode>
                <c:ptCount val="5"/>
                <c:pt idx="0">
                  <c:v>3.2761904761904788</c:v>
                </c:pt>
                <c:pt idx="1">
                  <c:v>3.8000000000000003</c:v>
                </c:pt>
                <c:pt idx="2">
                  <c:v>4.2761904761904761</c:v>
                </c:pt>
                <c:pt idx="3">
                  <c:v>4.4666666666666659</c:v>
                </c:pt>
                <c:pt idx="4">
                  <c:v>5.1095238095238109</c:v>
                </c:pt>
              </c:numCache>
            </c:numRef>
          </c:yVal>
          <c:smooth val="0"/>
        </c:ser>
        <c:ser>
          <c:idx val="3"/>
          <c:order val="3"/>
          <c:tx>
            <c:v>500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262037547304612"/>
                  <c:y val="0.166200793003197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EoCT!$P$82:$P$86</c:f>
              <c:numCache>
                <c:formatCode>General</c:formatCode>
                <c:ptCount val="5"/>
                <c:pt idx="0">
                  <c:v>1.6094379124341003</c:v>
                </c:pt>
                <c:pt idx="1">
                  <c:v>2.3025850929940459</c:v>
                </c:pt>
                <c:pt idx="2">
                  <c:v>2.7080502011022101</c:v>
                </c:pt>
                <c:pt idx="3">
                  <c:v>2.9957322735539909</c:v>
                </c:pt>
                <c:pt idx="4">
                  <c:v>3.6888794541139363</c:v>
                </c:pt>
              </c:numCache>
            </c:numRef>
          </c:xVal>
          <c:yVal>
            <c:numRef>
              <c:f>EoCT!$T$82:$T$86</c:f>
              <c:numCache>
                <c:formatCode>General</c:formatCode>
                <c:ptCount val="5"/>
                <c:pt idx="0">
                  <c:v>3.2047619047619067</c:v>
                </c:pt>
                <c:pt idx="1">
                  <c:v>4.133333333333332</c:v>
                </c:pt>
                <c:pt idx="2">
                  <c:v>4.4666666666666632</c:v>
                </c:pt>
                <c:pt idx="3">
                  <c:v>4.8000000000000007</c:v>
                </c:pt>
                <c:pt idx="4">
                  <c:v>5.2761904761904761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6618288"/>
        <c:axId val="1156617744"/>
      </c:scatterChart>
      <c:valAx>
        <c:axId val="1156618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ln</a:t>
                </a:r>
                <a:r>
                  <a:rPr lang="en-GB" baseline="0">
                    <a:solidFill>
                      <a:schemeClr val="tx1"/>
                    </a:solidFill>
                  </a:rPr>
                  <a:t> t</a:t>
                </a:r>
                <a:endParaRPr lang="en-GB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7744"/>
        <c:crosses val="autoZero"/>
        <c:crossBetween val="midCat"/>
      </c:valAx>
      <c:valAx>
        <c:axId val="11566177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q</a:t>
                </a:r>
                <a:r>
                  <a:rPr lang="en-GB" baseline="-25000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6182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620646020031798"/>
          <c:y val="0.26504520268299797"/>
          <c:w val="8.654674577597854E-2"/>
          <c:h val="0.3125021872265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4225721784778"/>
          <c:y val="0.1111111111111111"/>
          <c:w val="0.78884951881014875"/>
          <c:h val="0.82775444736074655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7475940507436573"/>
                  <c:y val="-0.258038327400855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'Kinetic data'!$S$128:$S$132</c:f>
              <c:numCache>
                <c:formatCode>General</c:formatCode>
                <c:ptCount val="5"/>
                <c:pt idx="0">
                  <c:v>3.3003300330033004E-3</c:v>
                </c:pt>
                <c:pt idx="1">
                  <c:v>3.1948881789137379E-3</c:v>
                </c:pt>
                <c:pt idx="2">
                  <c:v>3.1446540880503146E-3</c:v>
                </c:pt>
                <c:pt idx="3">
                  <c:v>3.0959752321981426E-3</c:v>
                </c:pt>
                <c:pt idx="4">
                  <c:v>3.0487804878048782E-3</c:v>
                </c:pt>
              </c:numCache>
            </c:numRef>
          </c:xVal>
          <c:yVal>
            <c:numRef>
              <c:f>'Kinetic data'!$T$128:$T$132</c:f>
              <c:numCache>
                <c:formatCode>General</c:formatCode>
                <c:ptCount val="5"/>
                <c:pt idx="0">
                  <c:v>-3.175284131047138</c:v>
                </c:pt>
                <c:pt idx="1">
                  <c:v>-2.8375893558684511</c:v>
                </c:pt>
                <c:pt idx="2">
                  <c:v>-2.7357410147463161</c:v>
                </c:pt>
                <c:pt idx="3">
                  <c:v>-2.6265619026132421</c:v>
                </c:pt>
                <c:pt idx="4">
                  <c:v>-2.5548729651850683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173120"/>
        <c:axId val="1162799232"/>
      </c:scatterChart>
      <c:valAx>
        <c:axId val="10561731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1/T</a:t>
                </a:r>
              </a:p>
            </c:rich>
          </c:tx>
          <c:layout>
            <c:manualLayout>
              <c:xMode val="edge"/>
              <c:yMode val="edge"/>
              <c:x val="0.51113079615048118"/>
              <c:y val="2.21988918051910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799232"/>
        <c:crosses val="autoZero"/>
        <c:crossBetween val="midCat"/>
      </c:valAx>
      <c:valAx>
        <c:axId val="1162799232"/>
        <c:scaling>
          <c:orientation val="minMax"/>
          <c:max val="-2.4"/>
          <c:min val="-3.3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ln k</a:t>
                </a:r>
                <a:r>
                  <a:rPr lang="en-GB" baseline="-25000">
                    <a:solidFill>
                      <a:schemeClr val="tx1"/>
                    </a:solidFill>
                  </a:rPr>
                  <a:t>2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6173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30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60277244341322533"/>
                  <c:y val="-4.933181545077949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0.2948x + 2.08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0.9904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'Kinetic data'!$M$98:$M$102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'Kinetic data'!$N$98:$N$102</c:f>
              <c:numCache>
                <c:formatCode>General</c:formatCode>
                <c:ptCount val="5"/>
                <c:pt idx="0">
                  <c:v>2.9745042492917859</c:v>
                </c:pt>
                <c:pt idx="1">
                  <c:v>5.483028720626633</c:v>
                </c:pt>
                <c:pt idx="2">
                  <c:v>6.6596194503171233</c:v>
                </c:pt>
                <c:pt idx="3">
                  <c:v>8.108108108108107</c:v>
                </c:pt>
                <c:pt idx="4">
                  <c:v>13.703099510603591</c:v>
                </c:pt>
              </c:numCache>
            </c:numRef>
          </c:yVal>
          <c:smooth val="0"/>
        </c:ser>
        <c:ser>
          <c:idx val="1"/>
          <c:order val="1"/>
          <c:tx>
            <c:v>40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3355614247278649"/>
                  <c:y val="4.1324352528223128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0.2774x + 1.3139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0.9966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'Kinetic data'!$M$98:$M$102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'Kinetic data'!$O$98:$O$102</c:f>
              <c:numCache>
                <c:formatCode>General</c:formatCode>
                <c:ptCount val="5"/>
                <c:pt idx="0">
                  <c:v>2.3702031602708802</c:v>
                </c:pt>
                <c:pt idx="1">
                  <c:v>4.3032786885245899</c:v>
                </c:pt>
                <c:pt idx="2">
                  <c:v>5.5950266429840134</c:v>
                </c:pt>
                <c:pt idx="3">
                  <c:v>6.965174129353235</c:v>
                </c:pt>
                <c:pt idx="4">
                  <c:v>12.298682284040995</c:v>
                </c:pt>
              </c:numCache>
            </c:numRef>
          </c:yVal>
          <c:smooth val="0"/>
        </c:ser>
        <c:ser>
          <c:idx val="2"/>
          <c:order val="2"/>
          <c:tx>
            <c:v>45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45531162836620342"/>
                  <c:y val="2.368402744837618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0.2367x + 0.864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0.9983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'Kinetic data'!$M$98:$M$102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'Kinetic data'!$P$98:$P$102</c:f>
              <c:numCache>
                <c:formatCode>General</c:formatCode>
                <c:ptCount val="5"/>
                <c:pt idx="0">
                  <c:v>1.8485915492957739</c:v>
                </c:pt>
                <c:pt idx="1">
                  <c:v>3.3707865168539324</c:v>
                </c:pt>
                <c:pt idx="2">
                  <c:v>4.4807965860597454</c:v>
                </c:pt>
                <c:pt idx="3">
                  <c:v>5.6527590847913869</c:v>
                </c:pt>
                <c:pt idx="4">
                  <c:v>10.268948655256724</c:v>
                </c:pt>
              </c:numCache>
            </c:numRef>
          </c:yVal>
          <c:smooth val="0"/>
        </c:ser>
        <c:ser>
          <c:idx val="3"/>
          <c:order val="3"/>
          <c:tx>
            <c:v>50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320086556578547"/>
                  <c:y val="0.3012860892388451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0.2353x + 0.7655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0.9985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'Kinetic data'!$M$98:$M$102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'Kinetic data'!$Q$98:$Q$102</c:f>
              <c:numCache>
                <c:formatCode>General</c:formatCode>
                <c:ptCount val="5"/>
                <c:pt idx="0">
                  <c:v>1.7706576728499153</c:v>
                </c:pt>
                <c:pt idx="1">
                  <c:v>3.2659409020217742</c:v>
                </c:pt>
                <c:pt idx="2">
                  <c:v>4.3871866295264628</c:v>
                </c:pt>
                <c:pt idx="3">
                  <c:v>5.433376455368693</c:v>
                </c:pt>
                <c:pt idx="4">
                  <c:v>10.144927536231885</c:v>
                </c:pt>
              </c:numCache>
            </c:numRef>
          </c:yVal>
          <c:smooth val="0"/>
        </c:ser>
        <c:ser>
          <c:idx val="4"/>
          <c:order val="4"/>
          <c:tx>
            <c:v>55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5.9156978418450044E-2"/>
                  <c:y val="0.36841412895677195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0.2106x + 0.5708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0.999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'Kinetic data'!$M$98:$M$102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40</c:v>
                </c:pt>
              </c:numCache>
            </c:numRef>
          </c:xVal>
          <c:yVal>
            <c:numRef>
              <c:f>'Kinetic data'!$R$98:$R$102</c:f>
              <c:numCache>
                <c:formatCode>General</c:formatCode>
                <c:ptCount val="5"/>
                <c:pt idx="0">
                  <c:v>1.5373352855051243</c:v>
                </c:pt>
                <c:pt idx="1">
                  <c:v>2.8074866310160425</c:v>
                </c:pt>
                <c:pt idx="2">
                  <c:v>3.7589498806682582</c:v>
                </c:pt>
                <c:pt idx="3">
                  <c:v>4.7032474804031352</c:v>
                </c:pt>
                <c:pt idx="4">
                  <c:v>9.0032154340836019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2801408"/>
        <c:axId val="1162799776"/>
      </c:scatterChart>
      <c:valAx>
        <c:axId val="11628014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 (min)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799776"/>
        <c:crosses val="autoZero"/>
        <c:crossBetween val="midCat"/>
      </c:valAx>
      <c:valAx>
        <c:axId val="11627997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t/q</a:t>
                </a:r>
                <a:r>
                  <a:rPr lang="en-GB" baseline="-25000">
                    <a:solidFill>
                      <a:schemeClr val="tx1"/>
                    </a:solidFill>
                  </a:rPr>
                  <a:t>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2801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8728852467109343"/>
          <c:y val="6.3587578661101096E-2"/>
          <c:w val="0.11172446704350043"/>
          <c:h val="0.677715586756474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6702974628171477"/>
                  <c:y val="7.305936073059360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Sheet1!$B$21:$B$26</c:f>
              <c:numCache>
                <c:formatCode>General</c:formatCode>
                <c:ptCount val="6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</c:numCache>
            </c:numRef>
          </c:xVal>
          <c:yVal>
            <c:numRef>
              <c:f>Sheet1!$C$21:$C$26</c:f>
              <c:numCache>
                <c:formatCode>General</c:formatCode>
                <c:ptCount val="6"/>
                <c:pt idx="0">
                  <c:v>0</c:v>
                </c:pt>
                <c:pt idx="1">
                  <c:v>6.1999999999999998E-3</c:v>
                </c:pt>
                <c:pt idx="2">
                  <c:v>1.2500000000000001E-2</c:v>
                </c:pt>
                <c:pt idx="3">
                  <c:v>1.9E-2</c:v>
                </c:pt>
                <c:pt idx="4">
                  <c:v>2.5600000000000001E-2</c:v>
                </c:pt>
                <c:pt idx="5">
                  <c:v>3.1899999999999998E-2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145264"/>
        <c:axId val="1154140912"/>
      </c:scatterChart>
      <c:valAx>
        <c:axId val="1154145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40912"/>
        <c:crosses val="autoZero"/>
        <c:crossBetween val="midCat"/>
      </c:valAx>
      <c:valAx>
        <c:axId val="1154140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4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590463692038496"/>
                  <c:y val="9.826917468649752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Sheet2!$B$10:$B$15</c:f>
              <c:numCache>
                <c:formatCode>General</c:formatCode>
                <c:ptCount val="6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</c:numCache>
            </c:numRef>
          </c:xVal>
          <c:yVal>
            <c:numRef>
              <c:f>Sheet2!$C$10:$C$15</c:f>
              <c:numCache>
                <c:formatCode>General</c:formatCode>
                <c:ptCount val="6"/>
                <c:pt idx="0">
                  <c:v>0</c:v>
                </c:pt>
                <c:pt idx="1">
                  <c:v>0.14699999999999999</c:v>
                </c:pt>
                <c:pt idx="2">
                  <c:v>0.28599999999999998</c:v>
                </c:pt>
                <c:pt idx="3">
                  <c:v>0.41099999999999998</c:v>
                </c:pt>
                <c:pt idx="4">
                  <c:v>0.54100000000000004</c:v>
                </c:pt>
                <c:pt idx="5">
                  <c:v>0.66800000000000004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142000"/>
        <c:axId val="1154145808"/>
      </c:scatterChart>
      <c:valAx>
        <c:axId val="11541420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45808"/>
        <c:crosses val="autoZero"/>
        <c:crossBetween val="midCat"/>
      </c:valAx>
      <c:valAx>
        <c:axId val="1154145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42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4701574803149606"/>
                  <c:y val="0.1133861964437543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0.0007x + 0.0062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0.9997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Sheet2!$B$19:$B$24</c:f>
              <c:numCache>
                <c:formatCode>General</c:formatCode>
                <c:ptCount val="6"/>
                <c:pt idx="0">
                  <c:v>0</c:v>
                </c:pt>
                <c:pt idx="1">
                  <c:v>200</c:v>
                </c:pt>
                <c:pt idx="2">
                  <c:v>400</c:v>
                </c:pt>
                <c:pt idx="3">
                  <c:v>600</c:v>
                </c:pt>
                <c:pt idx="4">
                  <c:v>800</c:v>
                </c:pt>
                <c:pt idx="5">
                  <c:v>1000</c:v>
                </c:pt>
              </c:numCache>
            </c:numRef>
          </c:xVal>
          <c:yVal>
            <c:numRef>
              <c:f>Sheet2!$C$19:$C$24</c:f>
              <c:numCache>
                <c:formatCode>General</c:formatCode>
                <c:ptCount val="6"/>
                <c:pt idx="0">
                  <c:v>0</c:v>
                </c:pt>
                <c:pt idx="1">
                  <c:v>0.14299999999999999</c:v>
                </c:pt>
                <c:pt idx="2">
                  <c:v>0.27900000000000003</c:v>
                </c:pt>
                <c:pt idx="3">
                  <c:v>0.41099999999999998</c:v>
                </c:pt>
                <c:pt idx="4">
                  <c:v>0.54300000000000004</c:v>
                </c:pt>
                <c:pt idx="5">
                  <c:v>0.67200000000000004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144176"/>
        <c:axId val="1154147440"/>
      </c:scatterChart>
      <c:valAx>
        <c:axId val="11541441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Concentration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47440"/>
        <c:crosses val="autoZero"/>
        <c:crossBetween val="midCat"/>
      </c:valAx>
      <c:valAx>
        <c:axId val="11541474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144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EoT!$D$51</c:f>
              <c:strCache>
                <c:ptCount val="1"/>
                <c:pt idx="0">
                  <c:v>150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EoT!$C$52:$C$56</c:f>
              <c:numCache>
                <c:formatCode>General</c:formatCode>
                <c:ptCount val="5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</c:numCache>
            </c:numRef>
          </c:xVal>
          <c:yVal>
            <c:numRef>
              <c:f>EoT!$D$52:$D$56</c:f>
              <c:numCache>
                <c:formatCode>General</c:formatCode>
                <c:ptCount val="5"/>
                <c:pt idx="0">
                  <c:v>42.73015873015872</c:v>
                </c:pt>
                <c:pt idx="1">
                  <c:v>48.126984126984127</c:v>
                </c:pt>
                <c:pt idx="2">
                  <c:v>52.888888888888886</c:v>
                </c:pt>
                <c:pt idx="3">
                  <c:v>55.746031746031747</c:v>
                </c:pt>
                <c:pt idx="4">
                  <c:v>60.507936507936513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EoT!$E$51</c:f>
              <c:strCache>
                <c:ptCount val="1"/>
                <c:pt idx="0">
                  <c:v>300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EoT!$C$52:$C$56</c:f>
              <c:numCache>
                <c:formatCode>General</c:formatCode>
                <c:ptCount val="5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</c:numCache>
            </c:numRef>
          </c:xVal>
          <c:yVal>
            <c:numRef>
              <c:f>EoT!$E$52:$E$56</c:f>
              <c:numCache>
                <c:formatCode>General</c:formatCode>
                <c:ptCount val="5"/>
                <c:pt idx="0">
                  <c:v>30.888888888888893</c:v>
                </c:pt>
                <c:pt idx="1">
                  <c:v>35.968253968253975</c:v>
                </c:pt>
                <c:pt idx="2">
                  <c:v>38.190476190476197</c:v>
                </c:pt>
                <c:pt idx="3">
                  <c:v>42.476190476190474</c:v>
                </c:pt>
                <c:pt idx="4">
                  <c:v>44.857142857142861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EoT!$F$51</c:f>
              <c:strCache>
                <c:ptCount val="1"/>
                <c:pt idx="0">
                  <c:v>400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EoT!$C$52:$C$56</c:f>
              <c:numCache>
                <c:formatCode>General</c:formatCode>
                <c:ptCount val="5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</c:numCache>
            </c:numRef>
          </c:xVal>
          <c:yVal>
            <c:numRef>
              <c:f>EoT!$F$52:$F$56</c:f>
              <c:numCache>
                <c:formatCode>General</c:formatCode>
                <c:ptCount val="5"/>
                <c:pt idx="0">
                  <c:v>26.261904761904759</c:v>
                </c:pt>
                <c:pt idx="1">
                  <c:v>32.452380952380949</c:v>
                </c:pt>
                <c:pt idx="2">
                  <c:v>33.88095238095238</c:v>
                </c:pt>
                <c:pt idx="3">
                  <c:v>35.666666666666671</c:v>
                </c:pt>
                <c:pt idx="4">
                  <c:v>41.380952380952394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EoT!$G$51</c:f>
              <c:strCache>
                <c:ptCount val="1"/>
                <c:pt idx="0">
                  <c:v>500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EoT!$C$52:$C$56</c:f>
              <c:numCache>
                <c:formatCode>General</c:formatCode>
                <c:ptCount val="5"/>
                <c:pt idx="0">
                  <c:v>30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</c:numCache>
            </c:numRef>
          </c:xVal>
          <c:yVal>
            <c:numRef>
              <c:f>EoT!$G$52:$G$56</c:f>
              <c:numCache>
                <c:formatCode>General</c:formatCode>
                <c:ptCount val="5"/>
                <c:pt idx="0">
                  <c:v>23.199999999999989</c:v>
                </c:pt>
                <c:pt idx="1">
                  <c:v>27.104761904761894</c:v>
                </c:pt>
                <c:pt idx="2">
                  <c:v>31.676190476190481</c:v>
                </c:pt>
                <c:pt idx="3">
                  <c:v>33.961904761904769</c:v>
                </c:pt>
                <c:pt idx="4">
                  <c:v>38.057142857142857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383920"/>
        <c:axId val="1154384464"/>
      </c:scatterChart>
      <c:valAx>
        <c:axId val="1154383920"/>
        <c:scaling>
          <c:orientation val="minMax"/>
          <c:max val="65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  <a:latin typeface="+mn-lt"/>
                  </a:rPr>
                  <a:t>Temperature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</a:rPr>
                  <a:t> (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  <a:cs typeface="Times New Roman" panose="02020603050405020304" pitchFamily="18" charset="0"/>
                  </a:rPr>
                  <a:t>°C</a:t>
                </a:r>
                <a:r>
                  <a:rPr lang="en-GB" baseline="0">
                    <a:solidFill>
                      <a:schemeClr val="tx1"/>
                    </a:solidFill>
                    <a:latin typeface="+mn-lt"/>
                  </a:rPr>
                  <a:t>)</a:t>
                </a:r>
                <a:endParaRPr lang="en-GB">
                  <a:solidFill>
                    <a:schemeClr val="tx1"/>
                  </a:solidFill>
                  <a:latin typeface="+mn-lt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4464"/>
        <c:crosses val="autoZero"/>
        <c:crossBetween val="midCat"/>
      </c:valAx>
      <c:valAx>
        <c:axId val="115438446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%Removal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81533186426610105"/>
          <c:y val="0.42592592592592593"/>
          <c:w val="0.12471094880730835"/>
          <c:h val="0.3125021872265967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15031635538312"/>
          <c:y val="4.1522491349480967E-2"/>
          <c:w val="0.79705580280725774"/>
          <c:h val="0.74439074008482509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EoT!$E$66:$E$69</c:f>
              <c:numCache>
                <c:formatCode>General</c:formatCode>
                <c:ptCount val="4"/>
                <c:pt idx="0">
                  <c:v>85.904761904761926</c:v>
                </c:pt>
                <c:pt idx="1">
                  <c:v>207.33333333333331</c:v>
                </c:pt>
                <c:pt idx="2">
                  <c:v>294.95238095238096</c:v>
                </c:pt>
                <c:pt idx="3">
                  <c:v>384.00000000000006</c:v>
                </c:pt>
              </c:numCache>
            </c:numRef>
          </c:xVal>
          <c:yVal>
            <c:numRef>
              <c:f>EoT!$D$66:$D$69</c:f>
              <c:numCache>
                <c:formatCode>General</c:formatCode>
                <c:ptCount val="4"/>
                <c:pt idx="0">
                  <c:v>3.204761904761904</c:v>
                </c:pt>
                <c:pt idx="1">
                  <c:v>4.6333333333333346</c:v>
                </c:pt>
                <c:pt idx="2">
                  <c:v>5.2523809523809524</c:v>
                </c:pt>
                <c:pt idx="3">
                  <c:v>5.7999999999999972</c:v>
                </c:pt>
              </c:numCache>
            </c:numRef>
          </c:yVal>
          <c:smooth val="0"/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EoT!$E$70:$E$73</c:f>
              <c:numCache>
                <c:formatCode>General</c:formatCode>
                <c:ptCount val="4"/>
                <c:pt idx="0">
                  <c:v>77.80952380952381</c:v>
                </c:pt>
                <c:pt idx="1">
                  <c:v>192.09523809523807</c:v>
                </c:pt>
                <c:pt idx="2">
                  <c:v>270.1904761904762</c:v>
                </c:pt>
                <c:pt idx="3">
                  <c:v>364.47619047619054</c:v>
                </c:pt>
              </c:numCache>
            </c:numRef>
          </c:xVal>
          <c:yVal>
            <c:numRef>
              <c:f>EoT!$D$70:$D$73</c:f>
              <c:numCache>
                <c:formatCode>General</c:formatCode>
                <c:ptCount val="4"/>
                <c:pt idx="0">
                  <c:v>3.6095238095238096</c:v>
                </c:pt>
                <c:pt idx="1">
                  <c:v>5.3952380952380965</c:v>
                </c:pt>
                <c:pt idx="2">
                  <c:v>6.4904761904761905</c:v>
                </c:pt>
                <c:pt idx="3">
                  <c:v>6.7761904761904734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EoT!$E$74:$E$77</c:f>
              <c:numCache>
                <c:formatCode>General</c:formatCode>
                <c:ptCount val="4"/>
                <c:pt idx="0">
                  <c:v>70.666666666666671</c:v>
                </c:pt>
                <c:pt idx="1">
                  <c:v>185.42857142857142</c:v>
                </c:pt>
                <c:pt idx="2">
                  <c:v>264.47619047619048</c:v>
                </c:pt>
                <c:pt idx="3">
                  <c:v>341.61904761904759</c:v>
                </c:pt>
              </c:numCache>
            </c:numRef>
          </c:xVal>
          <c:yVal>
            <c:numRef>
              <c:f>EoT!$D$74:$D$77</c:f>
              <c:numCache>
                <c:formatCode>General</c:formatCode>
                <c:ptCount val="4"/>
                <c:pt idx="0">
                  <c:v>3.9666666666666668</c:v>
                </c:pt>
                <c:pt idx="1">
                  <c:v>5.7285714285714295</c:v>
                </c:pt>
                <c:pt idx="2">
                  <c:v>6.7761904761904761</c:v>
                </c:pt>
                <c:pt idx="3">
                  <c:v>7.9190476190476211</c:v>
                </c:pt>
              </c:numCache>
            </c:numRef>
          </c:yVal>
          <c:smooth val="0"/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EoT!$E$78:$E$81</c:f>
              <c:numCache>
                <c:formatCode>General</c:formatCode>
                <c:ptCount val="4"/>
                <c:pt idx="0">
                  <c:v>66.38095238095238</c:v>
                </c:pt>
                <c:pt idx="1">
                  <c:v>172.57142857142858</c:v>
                </c:pt>
                <c:pt idx="2">
                  <c:v>257.33333333333331</c:v>
                </c:pt>
                <c:pt idx="3">
                  <c:v>330.19047619047615</c:v>
                </c:pt>
              </c:numCache>
            </c:numRef>
          </c:xVal>
          <c:yVal>
            <c:numRef>
              <c:f>EoT!$D$78:$D$81</c:f>
              <c:numCache>
                <c:formatCode>General</c:formatCode>
                <c:ptCount val="4"/>
                <c:pt idx="0">
                  <c:v>4.1809523809523812</c:v>
                </c:pt>
                <c:pt idx="1">
                  <c:v>6.371428571428571</c:v>
                </c:pt>
                <c:pt idx="2">
                  <c:v>7.1333333333333346</c:v>
                </c:pt>
                <c:pt idx="3">
                  <c:v>8.4904761904761923</c:v>
                </c:pt>
              </c:numCache>
            </c:numRef>
          </c:yVal>
          <c:smooth val="0"/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EoT!$E$82:$E$85</c:f>
              <c:numCache>
                <c:formatCode>General</c:formatCode>
                <c:ptCount val="4"/>
                <c:pt idx="0">
                  <c:v>59.238095238095248</c:v>
                </c:pt>
                <c:pt idx="1">
                  <c:v>165.42857142857142</c:v>
                </c:pt>
                <c:pt idx="2">
                  <c:v>234.47619047619042</c:v>
                </c:pt>
                <c:pt idx="3">
                  <c:v>309.71428571428572</c:v>
                </c:pt>
              </c:numCache>
            </c:numRef>
          </c:xVal>
          <c:yVal>
            <c:numRef>
              <c:f>EoT!$D$82:$D$85</c:f>
              <c:numCache>
                <c:formatCode>General</c:formatCode>
                <c:ptCount val="4"/>
                <c:pt idx="0">
                  <c:v>4.538095238095238</c:v>
                </c:pt>
                <c:pt idx="1">
                  <c:v>6.7285714285714295</c:v>
                </c:pt>
                <c:pt idx="2">
                  <c:v>8.2761904761904788</c:v>
                </c:pt>
                <c:pt idx="3">
                  <c:v>9.5142857142857142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386640"/>
        <c:axId val="1154385552"/>
      </c:scatterChart>
      <c:valAx>
        <c:axId val="1154386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5552"/>
        <c:crosses val="autoZero"/>
        <c:crossBetween val="midCat"/>
      </c:valAx>
      <c:valAx>
        <c:axId val="1154385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q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Langmuir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7707222081110828E-2"/>
                  <c:y val="6.3002986695628567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0.1326x + 16.245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0.9962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EoT!$E$66:$E$69</c:f>
              <c:numCache>
                <c:formatCode>General</c:formatCode>
                <c:ptCount val="4"/>
                <c:pt idx="0">
                  <c:v>85.904761904761926</c:v>
                </c:pt>
                <c:pt idx="1">
                  <c:v>207.33333333333331</c:v>
                </c:pt>
                <c:pt idx="2">
                  <c:v>294.95238095238096</c:v>
                </c:pt>
                <c:pt idx="3">
                  <c:v>384.00000000000006</c:v>
                </c:pt>
              </c:numCache>
            </c:numRef>
          </c:xVal>
          <c:yVal>
            <c:numRef>
              <c:f>EoT!$F$66:$F$69</c:f>
              <c:numCache>
                <c:formatCode>General</c:formatCode>
                <c:ptCount val="4"/>
                <c:pt idx="0">
                  <c:v>26.805349182763756</c:v>
                </c:pt>
                <c:pt idx="1">
                  <c:v>44.748201438848902</c:v>
                </c:pt>
                <c:pt idx="2">
                  <c:v>56.155938349954674</c:v>
                </c:pt>
                <c:pt idx="3">
                  <c:v>66.206896551724185</c:v>
                </c:pt>
              </c:numCache>
            </c:numRef>
          </c:yVal>
          <c:smooth val="0"/>
        </c:ser>
        <c:ser>
          <c:idx val="1"/>
          <c:order val="1"/>
          <c:tx>
            <c:v>40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875963085259505"/>
                  <c:y val="-1.15040275138021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0.11x + 13.278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0.9934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EoT!$E$70:$E$73</c:f>
              <c:numCache>
                <c:formatCode>General</c:formatCode>
                <c:ptCount val="4"/>
                <c:pt idx="0">
                  <c:v>77.80952380952381</c:v>
                </c:pt>
                <c:pt idx="1">
                  <c:v>192.09523809523807</c:v>
                </c:pt>
                <c:pt idx="2">
                  <c:v>270.1904761904762</c:v>
                </c:pt>
                <c:pt idx="3">
                  <c:v>364.47619047619054</c:v>
                </c:pt>
              </c:numCache>
            </c:numRef>
          </c:xVal>
          <c:yVal>
            <c:numRef>
              <c:f>EoT!$F$70:$F$73</c:f>
              <c:numCache>
                <c:formatCode>General</c:formatCode>
                <c:ptCount val="4"/>
                <c:pt idx="0">
                  <c:v>21.556728232189972</c:v>
                </c:pt>
                <c:pt idx="1">
                  <c:v>35.6045895851721</c:v>
                </c:pt>
                <c:pt idx="2">
                  <c:v>41.628760088041091</c:v>
                </c:pt>
                <c:pt idx="3">
                  <c:v>53.787772312016898</c:v>
                </c:pt>
              </c:numCache>
            </c:numRef>
          </c:yVal>
          <c:smooth val="0"/>
        </c:ser>
        <c:ser>
          <c:idx val="2"/>
          <c:order val="2"/>
          <c:tx>
            <c:v>45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4320739141478284"/>
                  <c:y val="2.546402389356507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0.0944x + 12.747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0.9669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EoT!$E$74:$E$77</c:f>
              <c:numCache>
                <c:formatCode>General</c:formatCode>
                <c:ptCount val="4"/>
                <c:pt idx="0">
                  <c:v>70.666666666666671</c:v>
                </c:pt>
                <c:pt idx="1">
                  <c:v>185.42857142857142</c:v>
                </c:pt>
                <c:pt idx="2">
                  <c:v>264.47619047619048</c:v>
                </c:pt>
                <c:pt idx="3">
                  <c:v>341.61904761904759</c:v>
                </c:pt>
              </c:numCache>
            </c:numRef>
          </c:xVal>
          <c:yVal>
            <c:numRef>
              <c:f>EoT!$F$74:$F$77</c:f>
              <c:numCache>
                <c:formatCode>General</c:formatCode>
                <c:ptCount val="4"/>
                <c:pt idx="0">
                  <c:v>17.815126050420169</c:v>
                </c:pt>
                <c:pt idx="1">
                  <c:v>32.369077306733161</c:v>
                </c:pt>
                <c:pt idx="2">
                  <c:v>39.030217849613493</c:v>
                </c:pt>
                <c:pt idx="3">
                  <c:v>43.138905592303054</c:v>
                </c:pt>
              </c:numCache>
            </c:numRef>
          </c:yVal>
          <c:smooth val="0"/>
        </c:ser>
        <c:ser>
          <c:idx val="3"/>
          <c:order val="3"/>
          <c:tx>
            <c:v>50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5086127338921343"/>
                  <c:y val="9.976649470540320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0.0902x + 10.852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0.9738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EoT!$E$78:$E$81</c:f>
              <c:numCache>
                <c:formatCode>General</c:formatCode>
                <c:ptCount val="4"/>
                <c:pt idx="0">
                  <c:v>66.38095238095238</c:v>
                </c:pt>
                <c:pt idx="1">
                  <c:v>172.57142857142858</c:v>
                </c:pt>
                <c:pt idx="2">
                  <c:v>257.33333333333331</c:v>
                </c:pt>
                <c:pt idx="3">
                  <c:v>330.19047619047615</c:v>
                </c:pt>
              </c:numCache>
            </c:numRef>
          </c:xVal>
          <c:yVal>
            <c:numRef>
              <c:f>EoT!$F$78:$F$81</c:f>
              <c:numCache>
                <c:formatCode>General</c:formatCode>
                <c:ptCount val="4"/>
                <c:pt idx="0">
                  <c:v>15.876993166287015</c:v>
                </c:pt>
                <c:pt idx="1">
                  <c:v>27.085201793721978</c:v>
                </c:pt>
                <c:pt idx="2">
                  <c:v>36.074766355140177</c:v>
                </c:pt>
                <c:pt idx="3">
                  <c:v>38.889512058328648</c:v>
                </c:pt>
              </c:numCache>
            </c:numRef>
          </c:yVal>
          <c:smooth val="0"/>
        </c:ser>
        <c:ser>
          <c:idx val="4"/>
          <c:order val="4"/>
          <c:tx>
            <c:v>55 C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3171831343662689E-2"/>
                  <c:y val="0.1733384016653090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0.0773x + 9.7711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0.9652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EoT!$E$82:$E$85</c:f>
              <c:numCache>
                <c:formatCode>General</c:formatCode>
                <c:ptCount val="4"/>
                <c:pt idx="0">
                  <c:v>59.238095238095248</c:v>
                </c:pt>
                <c:pt idx="1">
                  <c:v>165.42857142857142</c:v>
                </c:pt>
                <c:pt idx="2">
                  <c:v>234.47619047619042</c:v>
                </c:pt>
                <c:pt idx="3">
                  <c:v>309.71428571428572</c:v>
                </c:pt>
              </c:numCache>
            </c:numRef>
          </c:xVal>
          <c:yVal>
            <c:numRef>
              <c:f>EoT!$F$82:$F$85</c:f>
              <c:numCache>
                <c:formatCode>General</c:formatCode>
                <c:ptCount val="4"/>
                <c:pt idx="0">
                  <c:v>13.053515215110181</c:v>
                </c:pt>
                <c:pt idx="1">
                  <c:v>24.585987261146492</c:v>
                </c:pt>
                <c:pt idx="2">
                  <c:v>28.331415420022999</c:v>
                </c:pt>
                <c:pt idx="3">
                  <c:v>32.552552552552555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382288"/>
        <c:axId val="1154386096"/>
      </c:scatterChart>
      <c:valAx>
        <c:axId val="1154382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6096"/>
        <c:crosses val="autoZero"/>
        <c:crossBetween val="midCat"/>
      </c:valAx>
      <c:valAx>
        <c:axId val="11543860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C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  <a:r>
                  <a:rPr lang="en-GB">
                    <a:solidFill>
                      <a:schemeClr val="tx1"/>
                    </a:solidFill>
                  </a:rPr>
                  <a:t>/q</a:t>
                </a:r>
                <a:r>
                  <a:rPr lang="en-GB" baseline="-25000">
                    <a:solidFill>
                      <a:schemeClr val="tx1"/>
                    </a:solidFill>
                  </a:rPr>
                  <a:t>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2288"/>
        <c:crosses val="autoZero"/>
        <c:crossBetween val="midCat"/>
      </c:valAx>
      <c:spPr>
        <a:noFill/>
        <a:ln w="25400"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Freundlich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30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343482064741907"/>
                  <c:y val="0.3934435877176252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GB" baseline="0">
                        <a:solidFill>
                          <a:schemeClr val="tx1"/>
                        </a:solidFill>
                      </a:rPr>
                      <a:t>y = 0.3972x - 0.2601</a:t>
                    </a:r>
                    <a:br>
                      <a:rPr lang="en-GB" baseline="0">
                        <a:solidFill>
                          <a:schemeClr val="tx1"/>
                        </a:solidFill>
                      </a:rPr>
                    </a:br>
                    <a:r>
                      <a:rPr lang="en-GB" baseline="0">
                        <a:solidFill>
                          <a:schemeClr val="tx1"/>
                        </a:solidFill>
                      </a:rPr>
                      <a:t>R² = 0.9987</a:t>
                    </a:r>
                    <a:endParaRPr lang="en-GB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EoT!$H$66:$H$69</c:f>
              <c:numCache>
                <c:formatCode>General</c:formatCode>
                <c:ptCount val="4"/>
                <c:pt idx="0">
                  <c:v>1.9340172384720038</c:v>
                </c:pt>
                <c:pt idx="1">
                  <c:v>2.3166691299711561</c:v>
                </c:pt>
                <c:pt idx="2">
                  <c:v>2.4697519062868487</c:v>
                </c:pt>
                <c:pt idx="3">
                  <c:v>2.5843312243675309</c:v>
                </c:pt>
              </c:numCache>
            </c:numRef>
          </c:xVal>
          <c:yVal>
            <c:numRef>
              <c:f>EoT!$G$66:$G$69</c:f>
              <c:numCache>
                <c:formatCode>General</c:formatCode>
                <c:ptCount val="4"/>
                <c:pt idx="0">
                  <c:v>0.50579576949005745</c:v>
                </c:pt>
                <c:pt idx="1">
                  <c:v>0.66589354553443281</c:v>
                </c:pt>
                <c:pt idx="2">
                  <c:v>0.72035621770627134</c:v>
                </c:pt>
                <c:pt idx="3">
                  <c:v>0.76342799356293711</c:v>
                </c:pt>
              </c:numCache>
            </c:numRef>
          </c:yVal>
          <c:smooth val="0"/>
        </c:ser>
        <c:ser>
          <c:idx val="1"/>
          <c:order val="1"/>
          <c:tx>
            <c:v>40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6.6840988626421696E-2"/>
                  <c:y val="0.3745248798917436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0.4263x - 0.244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0.9849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EoT!$H$70:$H$73</c:f>
              <c:numCache>
                <c:formatCode>General</c:formatCode>
                <c:ptCount val="4"/>
                <c:pt idx="0">
                  <c:v>1.8910327574624775</c:v>
                </c:pt>
                <c:pt idx="1">
                  <c:v>2.2835165991428275</c:v>
                </c:pt>
                <c:pt idx="2">
                  <c:v>2.4316700367259143</c:v>
                </c:pt>
                <c:pt idx="3">
                  <c:v>2.5616691631545612</c:v>
                </c:pt>
              </c:numCache>
            </c:numRef>
          </c:xVal>
          <c:yVal>
            <c:numRef>
              <c:f>EoT!$G$70:$G$73</c:f>
              <c:numCache>
                <c:formatCode>General</c:formatCode>
                <c:ptCount val="4"/>
                <c:pt idx="0">
                  <c:v>0.55744991089813423</c:v>
                </c:pt>
                <c:pt idx="1">
                  <c:v>0.73201061512947807</c:v>
                </c:pt>
                <c:pt idx="2">
                  <c:v>0.8122765611007543</c:v>
                </c:pt>
                <c:pt idx="3">
                  <c:v>0.83098560535036492</c:v>
                </c:pt>
              </c:numCache>
            </c:numRef>
          </c:yVal>
          <c:smooth val="0"/>
        </c:ser>
        <c:ser>
          <c:idx val="2"/>
          <c:order val="2"/>
          <c:tx>
            <c:v>45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126881014873141"/>
                  <c:y val="0.3235789989919080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0.428x - 0.1992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0.991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EoT!$H$74:$H$77</c:f>
              <c:numCache>
                <c:formatCode>General</c:formatCode>
                <c:ptCount val="4"/>
                <c:pt idx="0">
                  <c:v>1.8492146062090891</c:v>
                </c:pt>
                <c:pt idx="1">
                  <c:v>2.2681766524500935</c:v>
                </c:pt>
                <c:pt idx="2">
                  <c:v>2.4223865806803193</c:v>
                </c:pt>
                <c:pt idx="3">
                  <c:v>2.5335420776060285</c:v>
                </c:pt>
              </c:numCache>
            </c:numRef>
          </c:xVal>
          <c:yVal>
            <c:numRef>
              <c:f>EoT!$G$74:$G$77</c:f>
              <c:numCache>
                <c:formatCode>General</c:formatCode>
                <c:ptCount val="4"/>
                <c:pt idx="0">
                  <c:v>0.59842570667286832</c:v>
                </c:pt>
                <c:pt idx="1">
                  <c:v>0.75804633260592558</c:v>
                </c:pt>
                <c:pt idx="2">
                  <c:v>0.83098560535036503</c:v>
                </c:pt>
                <c:pt idx="3">
                  <c:v>0.89867295448560014</c:v>
                </c:pt>
              </c:numCache>
            </c:numRef>
          </c:yVal>
          <c:smooth val="0"/>
        </c:ser>
        <c:ser>
          <c:idx val="3"/>
          <c:order val="3"/>
          <c:tx>
            <c:v>50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5495166229221348"/>
                  <c:y val="0.24684558028862308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0.4254x - 0.154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0.9902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EoT!$H$78:$H$81</c:f>
              <c:numCache>
                <c:formatCode>General</c:formatCode>
                <c:ptCount val="4"/>
                <c:pt idx="0">
                  <c:v>1.8220434790280713</c:v>
                </c:pt>
                <c:pt idx="1">
                  <c:v>2.2369688942708561</c:v>
                </c:pt>
                <c:pt idx="2">
                  <c:v>2.4104960456160738</c:v>
                </c:pt>
                <c:pt idx="3">
                  <c:v>2.5187645425864584</c:v>
                </c:pt>
              </c:numCache>
            </c:numRef>
          </c:xVal>
          <c:yVal>
            <c:numRef>
              <c:f>EoT!$G$78:$G$81</c:f>
              <c:numCache>
                <c:formatCode>General</c:formatCode>
                <c:ptCount val="4"/>
                <c:pt idx="0">
                  <c:v>0.62127522117218337</c:v>
                </c:pt>
                <c:pt idx="1">
                  <c:v>0.80423681869788499</c:v>
                </c:pt>
                <c:pt idx="2">
                  <c:v>0.85329251862952848</c:v>
                </c:pt>
                <c:pt idx="3">
                  <c:v>0.9289320484414354</c:v>
                </c:pt>
              </c:numCache>
            </c:numRef>
          </c:yVal>
          <c:smooth val="0"/>
        </c:ser>
        <c:ser>
          <c:idx val="4"/>
          <c:order val="4"/>
          <c:tx>
            <c:v>55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9024934383202101E-2"/>
                  <c:y val="-4.446866287042839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y = 0.4436x - 0.1364</a:t>
                    </a:r>
                    <a:br>
                      <a:rPr lang="en-US" baseline="0">
                        <a:solidFill>
                          <a:sysClr val="windowText" lastClr="000000"/>
                        </a:solidFill>
                      </a:rPr>
                    </a:br>
                    <a:r>
                      <a:rPr lang="en-US" baseline="0">
                        <a:solidFill>
                          <a:sysClr val="windowText" lastClr="000000"/>
                        </a:solidFill>
                      </a:rPr>
                      <a:t>R² = 0.9907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EoT!$H$82:$H$85</c:f>
              <c:numCache>
                <c:formatCode>General</c:formatCode>
                <c:ptCount val="4"/>
                <c:pt idx="0">
                  <c:v>1.7726010856208807</c:v>
                </c:pt>
                <c:pt idx="1">
                  <c:v>2.2186105193771604</c:v>
                </c:pt>
                <c:pt idx="2">
                  <c:v>2.3700987495253591</c:v>
                </c:pt>
                <c:pt idx="3">
                  <c:v>2.4909612378520927</c:v>
                </c:pt>
              </c:numCache>
            </c:numRef>
          </c:xVal>
          <c:yVal>
            <c:numRef>
              <c:f>EoT!$G$82:$G$85</c:f>
              <c:numCache>
                <c:formatCode>General</c:formatCode>
                <c:ptCount val="4"/>
                <c:pt idx="0">
                  <c:v>0.65687360590440713</c:v>
                </c:pt>
                <c:pt idx="1">
                  <c:v>0.82792286711463936</c:v>
                </c:pt>
                <c:pt idx="2">
                  <c:v>0.91783047737872858</c:v>
                </c:pt>
                <c:pt idx="3">
                  <c:v>0.97837618915604418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4382832"/>
        <c:axId val="1154383376"/>
      </c:scatterChart>
      <c:valAx>
        <c:axId val="11543828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log C</a:t>
                </a:r>
                <a:r>
                  <a:rPr lang="en-GB" baseline="-25000">
                    <a:solidFill>
                      <a:sysClr val="windowText" lastClr="000000"/>
                    </a:solidFill>
                  </a:rPr>
                  <a:t>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3376"/>
        <c:crosses val="autoZero"/>
        <c:crossBetween val="midCat"/>
      </c:valAx>
      <c:valAx>
        <c:axId val="1154383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log q</a:t>
                </a:r>
                <a:r>
                  <a:rPr lang="en-GB" baseline="-25000">
                    <a:solidFill>
                      <a:sysClr val="windowText" lastClr="000000"/>
                    </a:solidFill>
                  </a:rPr>
                  <a:t>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382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van't</a:t>
            </a:r>
            <a:r>
              <a:rPr lang="en-GB" sz="1200" baseline="0"/>
              <a:t> Hoff plot</a:t>
            </a:r>
            <a:endParaRPr lang="en-GB" sz="1200"/>
          </a:p>
        </c:rich>
      </c:tx>
      <c:layout>
        <c:manualLayout>
          <c:xMode val="edge"/>
          <c:yMode val="edge"/>
          <c:x val="0.3983818897637795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944225721784778"/>
          <c:y val="0.14715175663283053"/>
          <c:w val="0.78884951881014875"/>
          <c:h val="0.82775444736074655"/>
        </c:manualLayout>
      </c:layout>
      <c:scatterChart>
        <c:scatterStyle val="lineMarker"/>
        <c:varyColors val="0"/>
        <c:ser>
          <c:idx val="0"/>
          <c:order val="0"/>
          <c:tx>
            <c:v>150 mg/L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9142607174103239"/>
                  <c:y val="-0.44066054243219599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-2834.4x + 6.0332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0.9822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EoT!$C$129:$C$133</c:f>
              <c:numCache>
                <c:formatCode>General</c:formatCode>
                <c:ptCount val="5"/>
                <c:pt idx="0">
                  <c:v>3.3003300330033004E-3</c:v>
                </c:pt>
                <c:pt idx="1">
                  <c:v>3.1948881789137379E-3</c:v>
                </c:pt>
                <c:pt idx="2">
                  <c:v>3.1446540880503146E-3</c:v>
                </c:pt>
                <c:pt idx="3">
                  <c:v>3.0959752321981426E-3</c:v>
                </c:pt>
                <c:pt idx="4">
                  <c:v>3.0487804878048782E-3</c:v>
                </c:pt>
              </c:numCache>
            </c:numRef>
          </c:xVal>
          <c:yVal>
            <c:numRef>
              <c:f>EoT!$E$129:$E$133</c:f>
              <c:numCache>
                <c:formatCode>General</c:formatCode>
                <c:ptCount val="5"/>
                <c:pt idx="0">
                  <c:v>-3.2886014639718875</c:v>
                </c:pt>
                <c:pt idx="1">
                  <c:v>-3.0706879827716222</c:v>
                </c:pt>
                <c:pt idx="2">
                  <c:v>-2.880047874554529</c:v>
                </c:pt>
                <c:pt idx="3">
                  <c:v>-2.7648710906793981</c:v>
                </c:pt>
                <c:pt idx="4">
                  <c:v>-2.5690574626389684</c:v>
                </c:pt>
              </c:numCache>
            </c:numRef>
          </c:yVal>
          <c:smooth val="0"/>
        </c:ser>
        <c:ser>
          <c:idx val="1"/>
          <c:order val="1"/>
          <c:tx>
            <c:v>300 mg/L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7198162729658792"/>
                  <c:y val="-0.42529746281714786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-2413.4x + 4.1485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0.9895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EoT!$C$129:$C$133</c:f>
              <c:numCache>
                <c:formatCode>General</c:formatCode>
                <c:ptCount val="5"/>
                <c:pt idx="0">
                  <c:v>3.3003300330033004E-3</c:v>
                </c:pt>
                <c:pt idx="1">
                  <c:v>3.1948881789137379E-3</c:v>
                </c:pt>
                <c:pt idx="2">
                  <c:v>3.1446540880503146E-3</c:v>
                </c:pt>
                <c:pt idx="3">
                  <c:v>3.0959752321981426E-3</c:v>
                </c:pt>
                <c:pt idx="4">
                  <c:v>3.0487804878048782E-3</c:v>
                </c:pt>
              </c:numCache>
            </c:numRef>
          </c:xVal>
          <c:yVal>
            <c:numRef>
              <c:f>EoT!$G$129:$G$133</c:f>
              <c:numCache>
                <c:formatCode>General</c:formatCode>
                <c:ptCount val="5"/>
                <c:pt idx="0">
                  <c:v>-3.8010512526025328</c:v>
                </c:pt>
                <c:pt idx="1">
                  <c:v>-3.5724745504801962</c:v>
                </c:pt>
                <c:pt idx="2">
                  <c:v>-3.4772035629515115</c:v>
                </c:pt>
                <c:pt idx="3">
                  <c:v>-3.2989875194687421</c:v>
                </c:pt>
                <c:pt idx="4">
                  <c:v>-3.2021766571105683</c:v>
                </c:pt>
              </c:numCache>
            </c:numRef>
          </c:yVal>
          <c:smooth val="0"/>
        </c:ser>
        <c:ser>
          <c:idx val="2"/>
          <c:order val="2"/>
          <c:tx>
            <c:v>400 mg/L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6595384951881015"/>
                  <c:y val="-0.3570348498104403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-2864x + 5.3524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0.9635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EoT!$C$129:$C$133</c:f>
              <c:numCache>
                <c:formatCode>General</c:formatCode>
                <c:ptCount val="5"/>
                <c:pt idx="0">
                  <c:v>3.3003300330033004E-3</c:v>
                </c:pt>
                <c:pt idx="1">
                  <c:v>3.1948881789137379E-3</c:v>
                </c:pt>
                <c:pt idx="2">
                  <c:v>3.1446540880503146E-3</c:v>
                </c:pt>
                <c:pt idx="3">
                  <c:v>3.0959752321981426E-3</c:v>
                </c:pt>
                <c:pt idx="4">
                  <c:v>3.0487804878048782E-3</c:v>
                </c:pt>
              </c:numCache>
            </c:numRef>
          </c:xVal>
          <c:yVal>
            <c:numRef>
              <c:f>EoT!$I$129:$I$133</c:f>
              <c:numCache>
                <c:formatCode>General</c:formatCode>
                <c:ptCount val="5"/>
                <c:pt idx="0">
                  <c:v>-4.0281324342736911</c:v>
                </c:pt>
                <c:pt idx="1">
                  <c:v>-3.7287912766663096</c:v>
                </c:pt>
                <c:pt idx="2">
                  <c:v>-3.6643361627709381</c:v>
                </c:pt>
                <c:pt idx="3">
                  <c:v>-3.5855936279969702</c:v>
                </c:pt>
                <c:pt idx="4">
                  <c:v>-3.3439712744730521</c:v>
                </c:pt>
              </c:numCache>
            </c:numRef>
          </c:yVal>
          <c:smooth val="0"/>
        </c:ser>
        <c:ser>
          <c:idx val="3"/>
          <c:order val="3"/>
          <c:tx>
            <c:v>500 mg/L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405949256342957E-4"/>
                  <c:y val="-0.2663772236803733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>
                        <a:solidFill>
                          <a:schemeClr val="tx1"/>
                        </a:solidFill>
                      </a:rPr>
                      <a:t>y = -2836.9x + 5.1388</a:t>
                    </a:r>
                    <a:br>
                      <a:rPr lang="en-US" baseline="0">
                        <a:solidFill>
                          <a:schemeClr val="tx1"/>
                        </a:solidFill>
                      </a:rPr>
                    </a:br>
                    <a:r>
                      <a:rPr lang="en-US" baseline="0">
                        <a:solidFill>
                          <a:schemeClr val="tx1"/>
                        </a:solidFill>
                      </a:rPr>
                      <a:t>R² = 0.9807</a:t>
                    </a:r>
                    <a:endParaRPr lang="en-US">
                      <a:solidFill>
                        <a:schemeClr val="tx1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EoT!$C$129:$C$133</c:f>
              <c:numCache>
                <c:formatCode>General</c:formatCode>
                <c:ptCount val="5"/>
                <c:pt idx="0">
                  <c:v>3.3003300330033004E-3</c:v>
                </c:pt>
                <c:pt idx="1">
                  <c:v>3.1948881789137379E-3</c:v>
                </c:pt>
                <c:pt idx="2">
                  <c:v>3.1446540880503146E-3</c:v>
                </c:pt>
                <c:pt idx="3">
                  <c:v>3.0959752321981426E-3</c:v>
                </c:pt>
                <c:pt idx="4">
                  <c:v>3.0487804878048782E-3</c:v>
                </c:pt>
              </c:numCache>
            </c:numRef>
          </c:xVal>
          <c:yVal>
            <c:numRef>
              <c:f>EoT!$K$129:$K$133</c:f>
              <c:numCache>
                <c:formatCode>General</c:formatCode>
                <c:ptCount val="5"/>
                <c:pt idx="0">
                  <c:v>-4.1927846350353537</c:v>
                </c:pt>
                <c:pt idx="1">
                  <c:v>-3.9850461608898415</c:v>
                </c:pt>
                <c:pt idx="2">
                  <c:v>-3.7644252718933453</c:v>
                </c:pt>
                <c:pt idx="3">
                  <c:v>-3.6607246013758736</c:v>
                </c:pt>
                <c:pt idx="4">
                  <c:v>-3.4828557850131934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5785568"/>
        <c:axId val="1155785024"/>
      </c:scatterChart>
      <c:valAx>
        <c:axId val="11557855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1/T</a:t>
                </a:r>
              </a:p>
            </c:rich>
          </c:tx>
          <c:layout>
            <c:manualLayout>
              <c:xMode val="edge"/>
              <c:yMode val="edge"/>
              <c:x val="0.50080446194225736"/>
              <c:y val="6.2973152452328998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85024"/>
        <c:crosses val="autoZero"/>
        <c:crossBetween val="midCat"/>
      </c:valAx>
      <c:valAx>
        <c:axId val="115578502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ln K</a:t>
                </a:r>
                <a:r>
                  <a:rPr lang="en-GB" baseline="-25000">
                    <a:solidFill>
                      <a:schemeClr val="tx1"/>
                    </a:solidFill>
                  </a:rPr>
                  <a:t>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785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3531474190726174"/>
          <c:y val="0.26041557305336827"/>
          <c:w val="0.13968525809273841"/>
          <c:h val="0.312502187226596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3" Type="http://schemas.openxmlformats.org/officeDocument/2006/relationships/chart" Target="../charts/chart7.xml"/><Relationship Id="rId7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1</xdr:row>
      <xdr:rowOff>9525</xdr:rowOff>
    </xdr:from>
    <xdr:to>
      <xdr:col>10</xdr:col>
      <xdr:colOff>328612</xdr:colOff>
      <xdr:row>13</xdr:row>
      <xdr:rowOff>28575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</xdr:colOff>
      <xdr:row>15</xdr:row>
      <xdr:rowOff>190499</xdr:rowOff>
    </xdr:from>
    <xdr:to>
      <xdr:col>10</xdr:col>
      <xdr:colOff>323850</xdr:colOff>
      <xdr:row>28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9525</xdr:rowOff>
    </xdr:from>
    <xdr:to>
      <xdr:col>11</xdr:col>
      <xdr:colOff>323850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</xdr:colOff>
      <xdr:row>16</xdr:row>
      <xdr:rowOff>0</xdr:rowOff>
    </xdr:from>
    <xdr:to>
      <xdr:col>11</xdr:col>
      <xdr:colOff>323850</xdr:colOff>
      <xdr:row>30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561976</xdr:colOff>
      <xdr:row>45</xdr:row>
      <xdr:rowOff>85725</xdr:rowOff>
    </xdr:from>
    <xdr:to>
      <xdr:col>12</xdr:col>
      <xdr:colOff>323850</xdr:colOff>
      <xdr:row>59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238125</xdr:colOff>
      <xdr:row>45</xdr:row>
      <xdr:rowOff>85725</xdr:rowOff>
    </xdr:from>
    <xdr:to>
      <xdr:col>18</xdr:col>
      <xdr:colOff>104775</xdr:colOff>
      <xdr:row>59</xdr:row>
      <xdr:rowOff>171450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176211</xdr:colOff>
      <xdr:row>65</xdr:row>
      <xdr:rowOff>114300</xdr:rowOff>
    </xdr:from>
    <xdr:to>
      <xdr:col>15</xdr:col>
      <xdr:colOff>200024</xdr:colOff>
      <xdr:row>84</xdr:row>
      <xdr:rowOff>95250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609599</xdr:colOff>
      <xdr:row>65</xdr:row>
      <xdr:rowOff>114302</xdr:rowOff>
    </xdr:from>
    <xdr:to>
      <xdr:col>22</xdr:col>
      <xdr:colOff>381000</xdr:colOff>
      <xdr:row>84</xdr:row>
      <xdr:rowOff>95250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19050</xdr:colOff>
      <xdr:row>125</xdr:row>
      <xdr:rowOff>95250</xdr:rowOff>
    </xdr:from>
    <xdr:to>
      <xdr:col>17</xdr:col>
      <xdr:colOff>638175</xdr:colOff>
      <xdr:row>141</xdr:row>
      <xdr:rowOff>171450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180975</xdr:colOff>
      <xdr:row>148</xdr:row>
      <xdr:rowOff>85725</xdr:rowOff>
    </xdr:from>
    <xdr:to>
      <xdr:col>13</xdr:col>
      <xdr:colOff>485775</xdr:colOff>
      <xdr:row>162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 editAs="oneCell">
    <xdr:from>
      <xdr:col>9</xdr:col>
      <xdr:colOff>295275</xdr:colOff>
      <xdr:row>62</xdr:row>
      <xdr:rowOff>123825</xdr:rowOff>
    </xdr:from>
    <xdr:to>
      <xdr:col>10</xdr:col>
      <xdr:colOff>266561</xdr:colOff>
      <xdr:row>65</xdr:row>
      <xdr:rowOff>18986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867775" y="12087225"/>
          <a:ext cx="1114286" cy="514286"/>
        </a:xfrm>
        <a:prstGeom prst="rect">
          <a:avLst/>
        </a:prstGeom>
      </xdr:spPr>
    </xdr:pic>
    <xdr:clientData/>
  </xdr:twoCellAnchor>
  <xdr:twoCellAnchor editAs="oneCell">
    <xdr:from>
      <xdr:col>17</xdr:col>
      <xdr:colOff>704850</xdr:colOff>
      <xdr:row>62</xdr:row>
      <xdr:rowOff>123825</xdr:rowOff>
    </xdr:from>
    <xdr:to>
      <xdr:col>20</xdr:col>
      <xdr:colOff>447461</xdr:colOff>
      <xdr:row>65</xdr:row>
      <xdr:rowOff>57081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754350" y="12087225"/>
          <a:ext cx="1714286" cy="552381"/>
        </a:xfrm>
        <a:prstGeom prst="rect">
          <a:avLst/>
        </a:prstGeom>
      </xdr:spPr>
    </xdr:pic>
    <xdr:clientData/>
  </xdr:twoCellAnchor>
  <xdr:twoCellAnchor editAs="oneCell">
    <xdr:from>
      <xdr:col>5</xdr:col>
      <xdr:colOff>276225</xdr:colOff>
      <xdr:row>148</xdr:row>
      <xdr:rowOff>85725</xdr:rowOff>
    </xdr:from>
    <xdr:to>
      <xdr:col>6</xdr:col>
      <xdr:colOff>104669</xdr:colOff>
      <xdr:row>151</xdr:row>
      <xdr:rowOff>9463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667250" y="28603575"/>
          <a:ext cx="847619" cy="49523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0</xdr:rowOff>
    </xdr:from>
    <xdr:to>
      <xdr:col>21</xdr:col>
      <xdr:colOff>266700</xdr:colOff>
      <xdr:row>14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14</xdr:row>
      <xdr:rowOff>180975</xdr:rowOff>
    </xdr:from>
    <xdr:to>
      <xdr:col>21</xdr:col>
      <xdr:colOff>123825</xdr:colOff>
      <xdr:row>29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61</xdr:row>
      <xdr:rowOff>133351</xdr:rowOff>
    </xdr:from>
    <xdr:to>
      <xdr:col>15</xdr:col>
      <xdr:colOff>447675</xdr:colOff>
      <xdr:row>75</xdr:row>
      <xdr:rowOff>38101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511969</xdr:colOff>
      <xdr:row>89</xdr:row>
      <xdr:rowOff>154781</xdr:rowOff>
    </xdr:from>
    <xdr:to>
      <xdr:col>6</xdr:col>
      <xdr:colOff>500063</xdr:colOff>
      <xdr:row>108</xdr:row>
      <xdr:rowOff>154780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14287</xdr:colOff>
      <xdr:row>89</xdr:row>
      <xdr:rowOff>157161</xdr:rowOff>
    </xdr:from>
    <xdr:to>
      <xdr:col>11</xdr:col>
      <xdr:colOff>519112</xdr:colOff>
      <xdr:row>108</xdr:row>
      <xdr:rowOff>130966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723901</xdr:colOff>
      <xdr:row>92</xdr:row>
      <xdr:rowOff>19050</xdr:rowOff>
    </xdr:from>
    <xdr:to>
      <xdr:col>26</xdr:col>
      <xdr:colOff>345282</xdr:colOff>
      <xdr:row>106</xdr:row>
      <xdr:rowOff>95250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14289</xdr:colOff>
      <xdr:row>89</xdr:row>
      <xdr:rowOff>185738</xdr:rowOff>
    </xdr:from>
    <xdr:to>
      <xdr:col>17</xdr:col>
      <xdr:colOff>276227</xdr:colOff>
      <xdr:row>108</xdr:row>
      <xdr:rowOff>119061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857250</xdr:colOff>
      <xdr:row>135</xdr:row>
      <xdr:rowOff>38100</xdr:rowOff>
    </xdr:from>
    <xdr:to>
      <xdr:col>16</xdr:col>
      <xdr:colOff>714375</xdr:colOff>
      <xdr:row>150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247649</xdr:colOff>
      <xdr:row>104</xdr:row>
      <xdr:rowOff>47625</xdr:rowOff>
    </xdr:from>
    <xdr:to>
      <xdr:col>21</xdr:col>
      <xdr:colOff>571500</xdr:colOff>
      <xdr:row>120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14</xdr:col>
      <xdr:colOff>419101</xdr:colOff>
      <xdr:row>121</xdr:row>
      <xdr:rowOff>95250</xdr:rowOff>
    </xdr:from>
    <xdr:ext cx="1200150" cy="523875"/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953501" y="23145750"/>
          <a:ext cx="1200150" cy="523875"/>
        </a:xfrm>
        <a:prstGeom prst="rect">
          <a:avLst/>
        </a:prstGeom>
      </xdr:spPr>
    </xdr:pic>
    <xdr:clientData/>
  </xdr:oneCellAnchor>
  <xdr:oneCellAnchor>
    <xdr:from>
      <xdr:col>15</xdr:col>
      <xdr:colOff>657225</xdr:colOff>
      <xdr:row>151</xdr:row>
      <xdr:rowOff>9525</xdr:rowOff>
    </xdr:from>
    <xdr:ext cx="1409524" cy="504762"/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753600" y="28775025"/>
          <a:ext cx="1409524" cy="50476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5"/>
  <sheetViews>
    <sheetView workbookViewId="0">
      <selection activeCell="B4" sqref="B4:C4"/>
    </sheetView>
  </sheetViews>
  <sheetFormatPr defaultRowHeight="15" x14ac:dyDescent="0.25"/>
  <cols>
    <col min="1" max="1" width="11.140625" customWidth="1"/>
    <col min="2" max="2" width="21.42578125" customWidth="1"/>
    <col min="3" max="3" width="13.7109375" customWidth="1"/>
  </cols>
  <sheetData>
    <row r="2" spans="1:3" x14ac:dyDescent="0.25">
      <c r="A2" s="5">
        <v>44088</v>
      </c>
      <c r="B2" s="3" t="s">
        <v>5</v>
      </c>
      <c r="C2" s="3" t="s">
        <v>6</v>
      </c>
    </row>
    <row r="3" spans="1:3" ht="18" x14ac:dyDescent="0.35">
      <c r="B3" s="6" t="s">
        <v>9</v>
      </c>
    </row>
    <row r="4" spans="1:3" x14ac:dyDescent="0.25">
      <c r="B4" s="259" t="s">
        <v>4</v>
      </c>
      <c r="C4" s="259"/>
    </row>
    <row r="5" spans="1:3" x14ac:dyDescent="0.25">
      <c r="B5" s="2" t="s">
        <v>0</v>
      </c>
      <c r="C5" s="2" t="s">
        <v>1</v>
      </c>
    </row>
    <row r="6" spans="1:3" x14ac:dyDescent="0.25">
      <c r="B6" s="1">
        <v>0</v>
      </c>
      <c r="C6" s="1">
        <v>0</v>
      </c>
    </row>
    <row r="7" spans="1:3" x14ac:dyDescent="0.25">
      <c r="B7" s="1">
        <v>200</v>
      </c>
      <c r="C7" s="1">
        <v>6.0000000000000001E-3</v>
      </c>
    </row>
    <row r="8" spans="1:3" x14ac:dyDescent="0.25">
      <c r="B8" s="1">
        <v>400</v>
      </c>
      <c r="C8" s="1">
        <v>1.2999999999999999E-2</v>
      </c>
    </row>
    <row r="9" spans="1:3" x14ac:dyDescent="0.25">
      <c r="B9" s="1">
        <v>600</v>
      </c>
      <c r="C9" s="1">
        <v>1.9E-2</v>
      </c>
    </row>
    <row r="10" spans="1:3" x14ac:dyDescent="0.25">
      <c r="B10" s="1">
        <v>800</v>
      </c>
      <c r="C10" s="1">
        <v>2.5000000000000001E-2</v>
      </c>
    </row>
    <row r="11" spans="1:3" x14ac:dyDescent="0.25">
      <c r="B11" s="1">
        <v>1000</v>
      </c>
      <c r="C11" s="1">
        <v>3.2000000000000001E-2</v>
      </c>
    </row>
    <row r="17" spans="1:3" x14ac:dyDescent="0.25">
      <c r="A17" s="5">
        <v>44090</v>
      </c>
      <c r="B17" s="3" t="s">
        <v>5</v>
      </c>
      <c r="C17" s="3" t="s">
        <v>6</v>
      </c>
    </row>
    <row r="18" spans="1:3" ht="18" x14ac:dyDescent="0.35">
      <c r="B18" s="6" t="s">
        <v>9</v>
      </c>
    </row>
    <row r="19" spans="1:3" x14ac:dyDescent="0.25">
      <c r="B19" s="259" t="s">
        <v>3</v>
      </c>
      <c r="C19" s="259"/>
    </row>
    <row r="20" spans="1:3" x14ac:dyDescent="0.25">
      <c r="B20" s="2" t="s">
        <v>0</v>
      </c>
      <c r="C20" s="2" t="s">
        <v>2</v>
      </c>
    </row>
    <row r="21" spans="1:3" x14ac:dyDescent="0.25">
      <c r="B21" s="1">
        <v>0</v>
      </c>
      <c r="C21" s="1">
        <v>0</v>
      </c>
    </row>
    <row r="22" spans="1:3" x14ac:dyDescent="0.25">
      <c r="B22" s="1">
        <v>200</v>
      </c>
      <c r="C22" s="1">
        <v>6.1999999999999998E-3</v>
      </c>
    </row>
    <row r="23" spans="1:3" x14ac:dyDescent="0.25">
      <c r="B23" s="1">
        <v>400</v>
      </c>
      <c r="C23" s="1">
        <v>1.2500000000000001E-2</v>
      </c>
    </row>
    <row r="24" spans="1:3" x14ac:dyDescent="0.25">
      <c r="B24" s="1">
        <v>600</v>
      </c>
      <c r="C24" s="1">
        <v>1.9E-2</v>
      </c>
    </row>
    <row r="25" spans="1:3" x14ac:dyDescent="0.25">
      <c r="B25" s="1">
        <v>800</v>
      </c>
      <c r="C25" s="1">
        <v>2.5600000000000001E-2</v>
      </c>
    </row>
    <row r="26" spans="1:3" x14ac:dyDescent="0.25">
      <c r="B26" s="1">
        <v>1000</v>
      </c>
      <c r="C26" s="1">
        <v>3.1899999999999998E-2</v>
      </c>
    </row>
    <row r="32" spans="1:3" x14ac:dyDescent="0.25">
      <c r="B32" s="260"/>
      <c r="C32" s="260"/>
    </row>
    <row r="33" spans="2:4" x14ac:dyDescent="0.25">
      <c r="B33" s="2"/>
      <c r="C33" s="2"/>
      <c r="D33" s="2"/>
    </row>
    <row r="34" spans="2:4" x14ac:dyDescent="0.25">
      <c r="B34" s="1"/>
      <c r="C34" s="1"/>
    </row>
    <row r="35" spans="2:4" x14ac:dyDescent="0.25">
      <c r="B35" s="1"/>
      <c r="C35" s="1"/>
    </row>
  </sheetData>
  <mergeCells count="3">
    <mergeCell ref="B4:C4"/>
    <mergeCell ref="B19:C19"/>
    <mergeCell ref="B32:C3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topLeftCell="A10" workbookViewId="0">
      <selection activeCell="M8" sqref="M8"/>
    </sheetView>
  </sheetViews>
  <sheetFormatPr defaultRowHeight="15" x14ac:dyDescent="0.25"/>
  <cols>
    <col min="1" max="1" width="10.7109375" bestFit="1" customWidth="1"/>
    <col min="2" max="2" width="22.28515625" customWidth="1"/>
    <col min="3" max="3" width="13.85546875" customWidth="1"/>
  </cols>
  <sheetData>
    <row r="3" spans="1:3" x14ac:dyDescent="0.25">
      <c r="A3" s="5">
        <v>44092</v>
      </c>
      <c r="B3" s="259" t="s">
        <v>11</v>
      </c>
      <c r="C3" s="259"/>
    </row>
    <row r="5" spans="1:3" x14ac:dyDescent="0.25">
      <c r="B5" s="3" t="s">
        <v>8</v>
      </c>
      <c r="C5" s="3" t="s">
        <v>7</v>
      </c>
    </row>
    <row r="6" spans="1:3" ht="18" x14ac:dyDescent="0.35">
      <c r="B6" t="s">
        <v>23</v>
      </c>
      <c r="C6" t="s">
        <v>10</v>
      </c>
    </row>
    <row r="8" spans="1:3" x14ac:dyDescent="0.25">
      <c r="B8" s="259" t="s">
        <v>4</v>
      </c>
      <c r="C8" s="259"/>
    </row>
    <row r="9" spans="1:3" x14ac:dyDescent="0.25">
      <c r="B9" s="4" t="s">
        <v>0</v>
      </c>
      <c r="C9" s="4" t="s">
        <v>2</v>
      </c>
    </row>
    <row r="10" spans="1:3" x14ac:dyDescent="0.25">
      <c r="B10" s="1">
        <v>0</v>
      </c>
      <c r="C10" s="1">
        <v>0</v>
      </c>
    </row>
    <row r="11" spans="1:3" x14ac:dyDescent="0.25">
      <c r="B11" s="1">
        <v>200</v>
      </c>
      <c r="C11" s="1">
        <v>0.14699999999999999</v>
      </c>
    </row>
    <row r="12" spans="1:3" x14ac:dyDescent="0.25">
      <c r="B12" s="1">
        <v>400</v>
      </c>
      <c r="C12" s="1">
        <v>0.28599999999999998</v>
      </c>
    </row>
    <row r="13" spans="1:3" x14ac:dyDescent="0.25">
      <c r="B13" s="1">
        <v>600</v>
      </c>
      <c r="C13" s="1">
        <v>0.41099999999999998</v>
      </c>
    </row>
    <row r="14" spans="1:3" x14ac:dyDescent="0.25">
      <c r="B14" s="1">
        <v>800</v>
      </c>
      <c r="C14" s="1">
        <v>0.54100000000000004</v>
      </c>
    </row>
    <row r="15" spans="1:3" x14ac:dyDescent="0.25">
      <c r="B15" s="1">
        <v>1000</v>
      </c>
      <c r="C15" s="1">
        <v>0.66800000000000004</v>
      </c>
    </row>
    <row r="17" spans="1:10" x14ac:dyDescent="0.25">
      <c r="A17" s="5">
        <v>44119</v>
      </c>
      <c r="B17" s="259" t="s">
        <v>28</v>
      </c>
      <c r="C17" s="259"/>
      <c r="D17" s="8"/>
    </row>
    <row r="18" spans="1:10" x14ac:dyDescent="0.25">
      <c r="B18" s="8" t="s">
        <v>0</v>
      </c>
      <c r="C18" s="8" t="s">
        <v>2</v>
      </c>
      <c r="D18" s="8"/>
    </row>
    <row r="19" spans="1:10" x14ac:dyDescent="0.25">
      <c r="B19" s="1">
        <v>0</v>
      </c>
      <c r="C19" s="1">
        <v>0</v>
      </c>
    </row>
    <row r="20" spans="1:10" x14ac:dyDescent="0.25">
      <c r="B20" s="1">
        <v>200</v>
      </c>
      <c r="C20" s="1">
        <v>0.14299999999999999</v>
      </c>
    </row>
    <row r="21" spans="1:10" x14ac:dyDescent="0.25">
      <c r="B21" s="1">
        <v>400</v>
      </c>
      <c r="C21" s="1">
        <v>0.27900000000000003</v>
      </c>
    </row>
    <row r="22" spans="1:10" x14ac:dyDescent="0.25">
      <c r="B22" s="1">
        <v>600</v>
      </c>
      <c r="C22" s="1">
        <v>0.41099999999999998</v>
      </c>
    </row>
    <row r="23" spans="1:10" x14ac:dyDescent="0.25">
      <c r="B23" s="1">
        <v>800</v>
      </c>
      <c r="C23" s="1">
        <v>0.54300000000000004</v>
      </c>
    </row>
    <row r="24" spans="1:10" x14ac:dyDescent="0.25">
      <c r="B24" s="1">
        <v>1000</v>
      </c>
      <c r="C24" s="1">
        <v>0.67200000000000004</v>
      </c>
      <c r="J24" t="s">
        <v>24</v>
      </c>
    </row>
    <row r="33" spans="2:5" x14ac:dyDescent="0.25">
      <c r="B33" s="259" t="s">
        <v>27</v>
      </c>
      <c r="C33" s="259"/>
    </row>
    <row r="34" spans="2:5" x14ac:dyDescent="0.25">
      <c r="B34" s="1">
        <v>150</v>
      </c>
      <c r="C34" s="1">
        <v>0.10199999999999999</v>
      </c>
    </row>
    <row r="35" spans="2:5" x14ac:dyDescent="0.25">
      <c r="B35" s="1">
        <v>300</v>
      </c>
      <c r="C35" s="1">
        <v>0.20300000000000001</v>
      </c>
    </row>
    <row r="36" spans="2:5" x14ac:dyDescent="0.25">
      <c r="B36" s="1">
        <v>500</v>
      </c>
      <c r="C36" s="1">
        <v>0.33700000000000002</v>
      </c>
    </row>
    <row r="38" spans="2:5" x14ac:dyDescent="0.25">
      <c r="B38" s="259" t="s">
        <v>22</v>
      </c>
      <c r="C38" s="259"/>
      <c r="D38" s="259"/>
      <c r="E38" s="259"/>
    </row>
    <row r="39" spans="2:5" ht="18" x14ac:dyDescent="0.35">
      <c r="B39" s="7" t="s">
        <v>12</v>
      </c>
      <c r="C39" s="7" t="s">
        <v>21</v>
      </c>
      <c r="D39" s="7" t="s">
        <v>25</v>
      </c>
      <c r="E39" s="7" t="s">
        <v>26</v>
      </c>
    </row>
    <row r="40" spans="2:5" x14ac:dyDescent="0.25">
      <c r="B40" s="1" t="s">
        <v>14</v>
      </c>
      <c r="C40" s="1">
        <v>2.7E-2</v>
      </c>
      <c r="D40" s="1"/>
      <c r="E40" s="1"/>
    </row>
    <row r="41" spans="2:5" x14ac:dyDescent="0.25">
      <c r="B41" s="1" t="s">
        <v>13</v>
      </c>
      <c r="C41" s="1">
        <v>2.8000000000000001E-2</v>
      </c>
      <c r="D41" s="1">
        <v>83.05</v>
      </c>
      <c r="E41" s="1">
        <v>6.23</v>
      </c>
    </row>
    <row r="42" spans="2:5" x14ac:dyDescent="0.25">
      <c r="B42" s="1" t="s">
        <v>19</v>
      </c>
      <c r="C42" s="1">
        <v>3.1E-2</v>
      </c>
      <c r="D42" s="1"/>
      <c r="E42" s="1"/>
    </row>
    <row r="43" spans="2:5" x14ac:dyDescent="0.25">
      <c r="B43" s="1" t="s">
        <v>17</v>
      </c>
      <c r="C43" s="1">
        <v>1.4999999999999999E-2</v>
      </c>
      <c r="D43" s="1">
        <v>95.4</v>
      </c>
      <c r="E43" s="1">
        <v>7.16</v>
      </c>
    </row>
    <row r="44" spans="2:5" x14ac:dyDescent="0.25">
      <c r="B44" s="1" t="s">
        <v>15</v>
      </c>
      <c r="C44" s="1">
        <v>0.187</v>
      </c>
      <c r="D44" s="1"/>
      <c r="E44" s="1"/>
    </row>
    <row r="45" spans="2:5" x14ac:dyDescent="0.25">
      <c r="B45" s="1" t="s">
        <v>20</v>
      </c>
      <c r="C45" s="1">
        <v>0.161</v>
      </c>
      <c r="D45" s="1">
        <v>56.91</v>
      </c>
      <c r="E45" s="1">
        <v>14.23</v>
      </c>
    </row>
    <row r="46" spans="2:5" x14ac:dyDescent="0.25">
      <c r="B46" s="1" t="s">
        <v>18</v>
      </c>
      <c r="C46" s="1">
        <v>0.18</v>
      </c>
      <c r="D46" s="1"/>
      <c r="E46" s="1"/>
    </row>
    <row r="47" spans="2:5" x14ac:dyDescent="0.25">
      <c r="B47" s="1" t="s">
        <v>16</v>
      </c>
      <c r="C47" s="1">
        <v>0.14399999999999999</v>
      </c>
      <c r="D47" s="1">
        <v>61.77</v>
      </c>
      <c r="E47" s="1">
        <v>15.44</v>
      </c>
    </row>
  </sheetData>
  <mergeCells count="5">
    <mergeCell ref="B8:C8"/>
    <mergeCell ref="B3:C3"/>
    <mergeCell ref="B38:E38"/>
    <mergeCell ref="B33:C33"/>
    <mergeCell ref="B17:C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Z159"/>
  <sheetViews>
    <sheetView zoomScaleNormal="100" workbookViewId="0">
      <selection activeCell="G138" sqref="G138"/>
    </sheetView>
  </sheetViews>
  <sheetFormatPr defaultRowHeight="15" x14ac:dyDescent="0.25"/>
  <cols>
    <col min="3" max="3" width="15.7109375" customWidth="1"/>
    <col min="4" max="4" width="15.85546875" customWidth="1"/>
    <col min="5" max="5" width="16" customWidth="1"/>
    <col min="6" max="6" width="15.28515625" customWidth="1"/>
    <col min="7" max="7" width="15" customWidth="1"/>
    <col min="8" max="8" width="15.5703125" customWidth="1"/>
    <col min="9" max="9" width="16.85546875" customWidth="1"/>
    <col min="10" max="10" width="17.140625" customWidth="1"/>
    <col min="12" max="12" width="11.5703125" customWidth="1"/>
    <col min="13" max="13" width="9.28515625" customWidth="1"/>
    <col min="14" max="14" width="11.28515625" customWidth="1"/>
    <col min="15" max="15" width="10.7109375" customWidth="1"/>
    <col min="16" max="16" width="16.5703125" customWidth="1"/>
    <col min="17" max="17" width="11.42578125" customWidth="1"/>
    <col min="18" max="18" width="11.140625" customWidth="1"/>
    <col min="19" max="19" width="9.28515625" customWidth="1"/>
    <col min="20" max="20" width="9.140625" customWidth="1"/>
    <col min="21" max="21" width="10.85546875" customWidth="1"/>
    <col min="22" max="22" width="14.85546875" customWidth="1"/>
    <col min="23" max="23" width="9.5703125" customWidth="1"/>
    <col min="24" max="24" width="11.5703125" customWidth="1"/>
  </cols>
  <sheetData>
    <row r="5" spans="2:18" ht="18" x14ac:dyDescent="0.35">
      <c r="B5" s="59" t="s">
        <v>29</v>
      </c>
      <c r="C5" s="57" t="s">
        <v>33</v>
      </c>
      <c r="D5" s="57" t="s">
        <v>30</v>
      </c>
      <c r="E5" s="57" t="s">
        <v>32</v>
      </c>
      <c r="F5" s="57" t="s">
        <v>31</v>
      </c>
      <c r="G5" s="57" t="s">
        <v>43</v>
      </c>
      <c r="H5" s="57" t="s">
        <v>34</v>
      </c>
      <c r="I5" s="58" t="s">
        <v>26</v>
      </c>
      <c r="K5" s="66" t="s">
        <v>37</v>
      </c>
      <c r="L5" s="72" t="s">
        <v>33</v>
      </c>
      <c r="M5" s="72" t="s">
        <v>30</v>
      </c>
      <c r="N5" s="72" t="s">
        <v>32</v>
      </c>
      <c r="O5" s="72" t="s">
        <v>31</v>
      </c>
      <c r="P5" s="72" t="s">
        <v>43</v>
      </c>
      <c r="Q5" s="72" t="s">
        <v>34</v>
      </c>
      <c r="R5" s="73" t="s">
        <v>26</v>
      </c>
    </row>
    <row r="6" spans="2:18" x14ac:dyDescent="0.25">
      <c r="B6" s="60" t="s">
        <v>35</v>
      </c>
      <c r="C6" s="29">
        <v>30</v>
      </c>
      <c r="D6" s="29">
        <v>6.6000000000000003E-2</v>
      </c>
      <c r="E6" s="29">
        <f>AVERAGE(D6:D8)</f>
        <v>6.6333333333333341E-2</v>
      </c>
      <c r="F6" s="29">
        <f>_xlfn.STDEV.S(D6:D8)</f>
        <v>5.7735026918962634E-4</v>
      </c>
      <c r="G6" s="29">
        <f>(E6-0.0062)/0.0007</f>
        <v>85.904761904761926</v>
      </c>
      <c r="H6" s="29">
        <f>((150-G6)/150)*100</f>
        <v>42.73015873015872</v>
      </c>
      <c r="I6" s="26">
        <f>((150-G6)/1)*0.05</f>
        <v>3.204761904761904</v>
      </c>
      <c r="K6" s="62" t="s">
        <v>35</v>
      </c>
      <c r="L6" s="37">
        <v>30</v>
      </c>
      <c r="M6" s="37">
        <v>0.151</v>
      </c>
      <c r="N6" s="37">
        <f>AVERAGE(M6:M8)</f>
        <v>0.15133333333333332</v>
      </c>
      <c r="O6" s="37">
        <f>_xlfn.STDEV.S(M6:M8)</f>
        <v>5.7735026918962634E-4</v>
      </c>
      <c r="P6" s="37">
        <f>(N6-0.0062)/0.0007</f>
        <v>207.33333333333331</v>
      </c>
      <c r="Q6" s="37">
        <f>((300-P6)/300)*100</f>
        <v>30.888888888888893</v>
      </c>
      <c r="R6" s="38">
        <f>((300-P6)/1)*0.05</f>
        <v>4.6333333333333346</v>
      </c>
    </row>
    <row r="7" spans="2:18" ht="18" x14ac:dyDescent="0.35">
      <c r="B7" s="60" t="s">
        <v>41</v>
      </c>
      <c r="C7" s="29"/>
      <c r="D7" s="29">
        <v>6.6000000000000003E-2</v>
      </c>
      <c r="E7" s="29"/>
      <c r="F7" s="29"/>
      <c r="G7" s="29"/>
      <c r="H7" s="29"/>
      <c r="I7" s="26"/>
      <c r="K7" s="62" t="s">
        <v>41</v>
      </c>
      <c r="L7" s="37"/>
      <c r="M7" s="37">
        <v>0.151</v>
      </c>
      <c r="N7" s="37"/>
      <c r="O7" s="37"/>
      <c r="P7" s="37"/>
      <c r="Q7" s="37"/>
      <c r="R7" s="38"/>
    </row>
    <row r="8" spans="2:18" x14ac:dyDescent="0.25">
      <c r="B8" s="60"/>
      <c r="C8" s="30"/>
      <c r="D8" s="30">
        <v>6.7000000000000004E-2</v>
      </c>
      <c r="E8" s="30"/>
      <c r="F8" s="30"/>
      <c r="G8" s="30"/>
      <c r="H8" s="30"/>
      <c r="I8" s="28"/>
      <c r="K8" s="62"/>
      <c r="L8" s="40"/>
      <c r="M8" s="40">
        <v>0.152</v>
      </c>
      <c r="N8" s="40"/>
      <c r="O8" s="40"/>
      <c r="P8" s="40"/>
      <c r="Q8" s="40"/>
      <c r="R8" s="41"/>
    </row>
    <row r="9" spans="2:18" x14ac:dyDescent="0.25">
      <c r="B9" s="60"/>
      <c r="C9" s="29"/>
      <c r="D9" s="29"/>
      <c r="E9" s="29"/>
      <c r="F9" s="29"/>
      <c r="G9" s="29"/>
      <c r="H9" s="29"/>
      <c r="I9" s="26"/>
      <c r="K9" s="62"/>
      <c r="L9" s="37"/>
      <c r="M9" s="37"/>
      <c r="N9" s="37"/>
      <c r="O9" s="37"/>
      <c r="P9" s="37"/>
      <c r="Q9" s="37"/>
      <c r="R9" s="38"/>
    </row>
    <row r="10" spans="2:18" x14ac:dyDescent="0.25">
      <c r="B10" s="60"/>
      <c r="C10" s="29">
        <v>40</v>
      </c>
      <c r="D10" s="29">
        <v>0.06</v>
      </c>
      <c r="E10" s="29">
        <f>AVERAGE(D10:D12)</f>
        <v>6.0666666666666667E-2</v>
      </c>
      <c r="F10" s="29">
        <f>_xlfn.STDEV.S(D10:D12)</f>
        <v>1.1547005383792527E-3</v>
      </c>
      <c r="G10" s="29">
        <f>(E10-0.0062)/0.0007</f>
        <v>77.80952380952381</v>
      </c>
      <c r="H10" s="29">
        <f>((150-G10)/150)*100</f>
        <v>48.126984126984127</v>
      </c>
      <c r="I10" s="26">
        <f>((150-G10)/1)*0.05</f>
        <v>3.6095238095238096</v>
      </c>
      <c r="K10" s="62"/>
      <c r="L10" s="37">
        <v>40</v>
      </c>
      <c r="M10" s="37">
        <v>0.14099999999999999</v>
      </c>
      <c r="N10" s="37">
        <f>AVERAGE(M10:M12)</f>
        <v>0.14066666666666666</v>
      </c>
      <c r="O10" s="37">
        <f>_xlfn.STDEV.S(M10:M12)</f>
        <v>5.7735026918961029E-4</v>
      </c>
      <c r="P10" s="37">
        <f>(N10-0.0062)/0.0007</f>
        <v>192.09523809523807</v>
      </c>
      <c r="Q10" s="37">
        <f>((300-P10)/300)*100</f>
        <v>35.968253968253975</v>
      </c>
      <c r="R10" s="38">
        <f>((300-P10)/1)*0.05</f>
        <v>5.3952380952380965</v>
      </c>
    </row>
    <row r="11" spans="2:18" x14ac:dyDescent="0.25">
      <c r="B11" s="60"/>
      <c r="C11" s="29"/>
      <c r="D11" s="29">
        <v>0.06</v>
      </c>
      <c r="E11" s="29"/>
      <c r="F11" s="29"/>
      <c r="G11" s="29"/>
      <c r="H11" s="29"/>
      <c r="I11" s="26"/>
      <c r="K11" s="62"/>
      <c r="L11" s="37"/>
      <c r="M11" s="37">
        <v>0.14099999999999999</v>
      </c>
      <c r="N11" s="37"/>
      <c r="O11" s="37"/>
      <c r="P11" s="37"/>
      <c r="Q11" s="37"/>
      <c r="R11" s="38"/>
    </row>
    <row r="12" spans="2:18" x14ac:dyDescent="0.25">
      <c r="B12" s="60"/>
      <c r="C12" s="30"/>
      <c r="D12" s="30">
        <v>6.2E-2</v>
      </c>
      <c r="E12" s="30"/>
      <c r="F12" s="30"/>
      <c r="G12" s="30"/>
      <c r="H12" s="30"/>
      <c r="I12" s="28"/>
      <c r="K12" s="62"/>
      <c r="L12" s="40"/>
      <c r="M12" s="40">
        <v>0.14000000000000001</v>
      </c>
      <c r="N12" s="40"/>
      <c r="O12" s="40"/>
      <c r="P12" s="40"/>
      <c r="Q12" s="40"/>
      <c r="R12" s="41"/>
    </row>
    <row r="13" spans="2:18" x14ac:dyDescent="0.25">
      <c r="B13" s="60"/>
      <c r="C13" s="29"/>
      <c r="D13" s="29"/>
      <c r="E13" s="29"/>
      <c r="F13" s="29"/>
      <c r="G13" s="29"/>
      <c r="H13" s="29"/>
      <c r="I13" s="26"/>
      <c r="K13" s="62"/>
      <c r="L13" s="37"/>
      <c r="M13" s="37"/>
      <c r="N13" s="37"/>
      <c r="O13" s="37"/>
      <c r="P13" s="37"/>
      <c r="Q13" s="37"/>
      <c r="R13" s="38"/>
    </row>
    <row r="14" spans="2:18" x14ac:dyDescent="0.25">
      <c r="B14" s="60"/>
      <c r="C14" s="29">
        <v>45</v>
      </c>
      <c r="D14" s="29">
        <v>5.5E-2</v>
      </c>
      <c r="E14" s="29">
        <f>AVERAGE(D14:D16)</f>
        <v>5.566666666666667E-2</v>
      </c>
      <c r="F14" s="29">
        <f>_xlfn.STDEV.S(D14:D16)</f>
        <v>1.1547005383792527E-3</v>
      </c>
      <c r="G14" s="29">
        <f>(E14-0.0062)/0.0007</f>
        <v>70.666666666666671</v>
      </c>
      <c r="H14" s="29">
        <f>((150-G14)/150)*100</f>
        <v>52.888888888888886</v>
      </c>
      <c r="I14" s="26">
        <f>((150-G14)/1)*0.05</f>
        <v>3.9666666666666668</v>
      </c>
      <c r="K14" s="62"/>
      <c r="L14" s="37">
        <v>45</v>
      </c>
      <c r="M14" s="37">
        <v>0.13600000000000001</v>
      </c>
      <c r="N14" s="37">
        <f>AVERAGE(M14:M16)</f>
        <v>0.13600000000000001</v>
      </c>
      <c r="O14" s="37">
        <f>_xlfn.STDEV.S(M14:M16)</f>
        <v>0</v>
      </c>
      <c r="P14" s="37">
        <f>(N14-0.0062)/0.0007</f>
        <v>185.42857142857142</v>
      </c>
      <c r="Q14" s="37">
        <f>((300-P14)/300)*100</f>
        <v>38.190476190476197</v>
      </c>
      <c r="R14" s="38">
        <f>((300-P14)/1)*0.05</f>
        <v>5.7285714285714295</v>
      </c>
    </row>
    <row r="15" spans="2:18" x14ac:dyDescent="0.25">
      <c r="B15" s="60"/>
      <c r="C15" s="29"/>
      <c r="D15" s="29">
        <v>5.5E-2</v>
      </c>
      <c r="E15" s="29"/>
      <c r="F15" s="29"/>
      <c r="G15" s="29"/>
      <c r="H15" s="29"/>
      <c r="I15" s="26"/>
      <c r="K15" s="62"/>
      <c r="L15" s="37"/>
      <c r="M15" s="37">
        <v>0.13600000000000001</v>
      </c>
      <c r="N15" s="37"/>
      <c r="O15" s="37"/>
      <c r="P15" s="37"/>
      <c r="Q15" s="37"/>
      <c r="R15" s="38"/>
    </row>
    <row r="16" spans="2:18" x14ac:dyDescent="0.25">
      <c r="B16" s="60"/>
      <c r="C16" s="30"/>
      <c r="D16" s="30">
        <v>5.7000000000000002E-2</v>
      </c>
      <c r="E16" s="30"/>
      <c r="F16" s="30"/>
      <c r="G16" s="30"/>
      <c r="H16" s="30"/>
      <c r="I16" s="28"/>
      <c r="K16" s="62"/>
      <c r="L16" s="40"/>
      <c r="M16" s="40">
        <v>0.13600000000000001</v>
      </c>
      <c r="N16" s="40"/>
      <c r="O16" s="40"/>
      <c r="P16" s="40"/>
      <c r="Q16" s="40"/>
      <c r="R16" s="41"/>
    </row>
    <row r="17" spans="2:18" x14ac:dyDescent="0.25">
      <c r="B17" s="60"/>
      <c r="C17" s="29"/>
      <c r="D17" s="29"/>
      <c r="E17" s="29"/>
      <c r="F17" s="29"/>
      <c r="G17" s="29"/>
      <c r="H17" s="29"/>
      <c r="I17" s="26"/>
      <c r="K17" s="62"/>
      <c r="L17" s="37"/>
      <c r="M17" s="37"/>
      <c r="N17" s="37"/>
      <c r="O17" s="37"/>
      <c r="P17" s="37"/>
      <c r="Q17" s="37"/>
      <c r="R17" s="38"/>
    </row>
    <row r="18" spans="2:18" x14ac:dyDescent="0.25">
      <c r="B18" s="60"/>
      <c r="C18" s="29">
        <v>50</v>
      </c>
      <c r="D18" s="29">
        <v>5.2999999999999999E-2</v>
      </c>
      <c r="E18" s="29">
        <f>AVERAGE(D18:D20)</f>
        <v>5.2666666666666667E-2</v>
      </c>
      <c r="F18" s="29">
        <f>_xlfn.STDEV.S(D18:D20)</f>
        <v>5.7735026918962634E-4</v>
      </c>
      <c r="G18" s="29">
        <f>(E18-0.0062)/0.0007</f>
        <v>66.38095238095238</v>
      </c>
      <c r="H18" s="29">
        <f>((150-G18)/150)*100</f>
        <v>55.746031746031747</v>
      </c>
      <c r="I18" s="26">
        <f>((150-G18)/1)*0.05</f>
        <v>4.1809523809523812</v>
      </c>
      <c r="K18" s="62"/>
      <c r="L18" s="37">
        <v>50</v>
      </c>
      <c r="M18" s="37">
        <v>0.13</v>
      </c>
      <c r="N18" s="37">
        <f>AVERAGE(M18:M20)</f>
        <v>0.127</v>
      </c>
      <c r="O18" s="37">
        <f>_xlfn.STDEV.S(M18:M20)</f>
        <v>2.6457513110645929E-3</v>
      </c>
      <c r="P18" s="37">
        <f>(N18-0.0062)/0.0007</f>
        <v>172.57142857142858</v>
      </c>
      <c r="Q18" s="37">
        <f>((300-P18)/300)*100</f>
        <v>42.476190476190474</v>
      </c>
      <c r="R18" s="38">
        <f>((300-P18)/1)*0.05</f>
        <v>6.371428571428571</v>
      </c>
    </row>
    <row r="19" spans="2:18" x14ac:dyDescent="0.25">
      <c r="B19" s="60"/>
      <c r="C19" s="29"/>
      <c r="D19" s="29">
        <v>5.2999999999999999E-2</v>
      </c>
      <c r="E19" s="29"/>
      <c r="F19" s="29"/>
      <c r="G19" s="29"/>
      <c r="H19" s="29"/>
      <c r="I19" s="26"/>
      <c r="K19" s="62"/>
      <c r="L19" s="37"/>
      <c r="M19" s="37">
        <v>0.126</v>
      </c>
      <c r="N19" s="37"/>
      <c r="O19" s="37"/>
      <c r="P19" s="37"/>
      <c r="Q19" s="37"/>
      <c r="R19" s="38"/>
    </row>
    <row r="20" spans="2:18" x14ac:dyDescent="0.25">
      <c r="B20" s="60"/>
      <c r="C20" s="30"/>
      <c r="D20" s="30">
        <v>5.1999999999999998E-2</v>
      </c>
      <c r="E20" s="30"/>
      <c r="F20" s="30"/>
      <c r="G20" s="30"/>
      <c r="H20" s="30"/>
      <c r="I20" s="28"/>
      <c r="K20" s="62"/>
      <c r="L20" s="40"/>
      <c r="M20" s="40">
        <v>0.125</v>
      </c>
      <c r="N20" s="40"/>
      <c r="O20" s="40"/>
      <c r="P20" s="40"/>
      <c r="Q20" s="40"/>
      <c r="R20" s="41"/>
    </row>
    <row r="21" spans="2:18" x14ac:dyDescent="0.25">
      <c r="B21" s="60"/>
      <c r="C21" s="29"/>
      <c r="D21" s="29"/>
      <c r="E21" s="29"/>
      <c r="F21" s="29"/>
      <c r="G21" s="29"/>
      <c r="H21" s="29"/>
      <c r="I21" s="26"/>
      <c r="K21" s="62"/>
      <c r="L21" s="37"/>
      <c r="M21" s="37"/>
      <c r="N21" s="37"/>
      <c r="O21" s="37"/>
      <c r="P21" s="37"/>
      <c r="Q21" s="37"/>
      <c r="R21" s="38"/>
    </row>
    <row r="22" spans="2:18" x14ac:dyDescent="0.25">
      <c r="B22" s="60"/>
      <c r="C22" s="29">
        <v>55</v>
      </c>
      <c r="D22" s="29">
        <v>4.7E-2</v>
      </c>
      <c r="E22" s="29">
        <f>AVERAGE(D22:D24)</f>
        <v>4.766666666666667E-2</v>
      </c>
      <c r="F22" s="29">
        <f>_xlfn.STDEV.S(D22:D24)</f>
        <v>1.1547005383792525E-3</v>
      </c>
      <c r="G22" s="29">
        <f>(E22-0.0062)/0.0007</f>
        <v>59.238095238095248</v>
      </c>
      <c r="H22" s="29">
        <f>((150-G22)/150)*100</f>
        <v>60.507936507936513</v>
      </c>
      <c r="I22" s="26">
        <f>((150-G22)/1)*0.05</f>
        <v>4.538095238095238</v>
      </c>
      <c r="K22" s="62"/>
      <c r="L22" s="37">
        <v>55</v>
      </c>
      <c r="M22" s="37">
        <v>0.123</v>
      </c>
      <c r="N22" s="37">
        <f>AVERAGE(M22:M24)</f>
        <v>0.122</v>
      </c>
      <c r="O22" s="37">
        <f>_xlfn.STDEV.S(M22:M24)</f>
        <v>1.7320508075688789E-3</v>
      </c>
      <c r="P22" s="37">
        <f>(N22-0.0062)/0.0007</f>
        <v>165.42857142857142</v>
      </c>
      <c r="Q22" s="37">
        <f>((300-P22)/300)*100</f>
        <v>44.857142857142861</v>
      </c>
      <c r="R22" s="38">
        <f>((300-P22)/1)*0.05</f>
        <v>6.7285714285714295</v>
      </c>
    </row>
    <row r="23" spans="2:18" x14ac:dyDescent="0.25">
      <c r="B23" s="60"/>
      <c r="C23" s="29"/>
      <c r="D23" s="29">
        <v>4.9000000000000002E-2</v>
      </c>
      <c r="E23" s="29"/>
      <c r="F23" s="29"/>
      <c r="G23" s="29"/>
      <c r="H23" s="29"/>
      <c r="I23" s="26"/>
      <c r="K23" s="62"/>
      <c r="L23" s="37"/>
      <c r="M23" s="37">
        <v>0.123</v>
      </c>
      <c r="N23" s="37"/>
      <c r="O23" s="37"/>
      <c r="P23" s="37"/>
      <c r="Q23" s="37"/>
      <c r="R23" s="38"/>
    </row>
    <row r="24" spans="2:18" x14ac:dyDescent="0.25">
      <c r="B24" s="61"/>
      <c r="C24" s="30"/>
      <c r="D24" s="30">
        <v>4.7E-2</v>
      </c>
      <c r="E24" s="30"/>
      <c r="F24" s="30"/>
      <c r="G24" s="30"/>
      <c r="H24" s="30"/>
      <c r="I24" s="28"/>
      <c r="K24" s="64"/>
      <c r="L24" s="40"/>
      <c r="M24" s="40">
        <v>0.12</v>
      </c>
      <c r="N24" s="40"/>
      <c r="O24" s="40"/>
      <c r="P24" s="40"/>
      <c r="Q24" s="40"/>
      <c r="R24" s="41"/>
    </row>
    <row r="26" spans="2:18" ht="18" x14ac:dyDescent="0.35">
      <c r="B26" s="53" t="s">
        <v>38</v>
      </c>
      <c r="C26" s="54" t="s">
        <v>33</v>
      </c>
      <c r="D26" s="54" t="s">
        <v>30</v>
      </c>
      <c r="E26" s="54" t="s">
        <v>32</v>
      </c>
      <c r="F26" s="54" t="s">
        <v>31</v>
      </c>
      <c r="G26" s="54" t="s">
        <v>43</v>
      </c>
      <c r="H26" s="54" t="s">
        <v>34</v>
      </c>
      <c r="I26" s="55" t="s">
        <v>26</v>
      </c>
      <c r="K26" s="67" t="s">
        <v>39</v>
      </c>
      <c r="L26" s="70" t="s">
        <v>33</v>
      </c>
      <c r="M26" s="70" t="s">
        <v>30</v>
      </c>
      <c r="N26" s="70" t="s">
        <v>32</v>
      </c>
      <c r="O26" s="70" t="s">
        <v>31</v>
      </c>
      <c r="P26" s="70" t="s">
        <v>43</v>
      </c>
      <c r="Q26" s="70" t="s">
        <v>34</v>
      </c>
      <c r="R26" s="71" t="s">
        <v>26</v>
      </c>
    </row>
    <row r="27" spans="2:18" x14ac:dyDescent="0.25">
      <c r="B27" s="52" t="s">
        <v>35</v>
      </c>
      <c r="C27" s="49">
        <v>30</v>
      </c>
      <c r="D27" s="49">
        <v>0.21199999999999999</v>
      </c>
      <c r="E27" s="49">
        <f>AVERAGE(D27:D29)</f>
        <v>0.21266666666666667</v>
      </c>
      <c r="F27" s="49">
        <f>_xlfn.STDEV.S(D27:D29)</f>
        <v>5.7735026918962634E-4</v>
      </c>
      <c r="G27" s="49">
        <f>(E27-0.0062)/0.0007</f>
        <v>294.95238095238096</v>
      </c>
      <c r="H27" s="49">
        <f>((400-G27)/400)*100</f>
        <v>26.261904761904759</v>
      </c>
      <c r="I27" s="17">
        <f>((400-G27)/1)*0.05</f>
        <v>5.2523809523809524</v>
      </c>
      <c r="K27" s="68" t="s">
        <v>35</v>
      </c>
      <c r="L27" s="46">
        <v>30</v>
      </c>
      <c r="M27" s="46">
        <v>0.27400000000000002</v>
      </c>
      <c r="N27" s="46">
        <f>AVERAGE(M27:M29)</f>
        <v>0.27500000000000002</v>
      </c>
      <c r="O27" s="46">
        <f>_xlfn.STDEV.S(M27:M29)</f>
        <v>1.0000000000000009E-3</v>
      </c>
      <c r="P27" s="46">
        <f>(N27-0.0062)/0.0007</f>
        <v>384.00000000000006</v>
      </c>
      <c r="Q27" s="46">
        <f>((500-P27)/500)*100</f>
        <v>23.199999999999989</v>
      </c>
      <c r="R27" s="10">
        <f>((500-P27)/1)*0.05</f>
        <v>5.7999999999999972</v>
      </c>
    </row>
    <row r="28" spans="2:18" ht="18" x14ac:dyDescent="0.35">
      <c r="B28" s="52" t="s">
        <v>41</v>
      </c>
      <c r="C28" s="49"/>
      <c r="D28" s="49">
        <v>0.21299999999999999</v>
      </c>
      <c r="E28" s="49"/>
      <c r="F28" s="49"/>
      <c r="G28" s="49"/>
      <c r="H28" s="49"/>
      <c r="I28" s="17"/>
      <c r="K28" s="68" t="s">
        <v>41</v>
      </c>
      <c r="L28" s="46"/>
      <c r="M28" s="46">
        <v>0.27500000000000002</v>
      </c>
      <c r="N28" s="46"/>
      <c r="O28" s="46"/>
      <c r="P28" s="46"/>
      <c r="Q28" s="46"/>
      <c r="R28" s="10"/>
    </row>
    <row r="29" spans="2:18" x14ac:dyDescent="0.25">
      <c r="B29" s="52"/>
      <c r="C29" s="50"/>
      <c r="D29" s="50">
        <v>0.21299999999999999</v>
      </c>
      <c r="E29" s="50"/>
      <c r="F29" s="50"/>
      <c r="G29" s="50"/>
      <c r="H29" s="50"/>
      <c r="I29" s="19"/>
      <c r="K29" s="68"/>
      <c r="L29" s="47"/>
      <c r="M29" s="47">
        <v>0.27600000000000002</v>
      </c>
      <c r="N29" s="47"/>
      <c r="O29" s="47"/>
      <c r="P29" s="47"/>
      <c r="Q29" s="47"/>
      <c r="R29" s="11"/>
    </row>
    <row r="30" spans="2:18" x14ac:dyDescent="0.25">
      <c r="B30" s="52"/>
      <c r="C30" s="49"/>
      <c r="D30" s="49"/>
      <c r="E30" s="49"/>
      <c r="F30" s="49"/>
      <c r="G30" s="49"/>
      <c r="H30" s="49"/>
      <c r="I30" s="17"/>
      <c r="K30" s="68"/>
      <c r="L30" s="46"/>
      <c r="M30" s="46"/>
      <c r="N30" s="46"/>
      <c r="O30" s="46"/>
      <c r="P30" s="46"/>
      <c r="Q30" s="46"/>
      <c r="R30" s="10"/>
    </row>
    <row r="31" spans="2:18" x14ac:dyDescent="0.25">
      <c r="B31" s="52"/>
      <c r="C31" s="49">
        <v>40</v>
      </c>
      <c r="D31" s="49">
        <v>0.193</v>
      </c>
      <c r="E31" s="49">
        <f>AVERAGE(D31:D33)</f>
        <v>0.19533333333333336</v>
      </c>
      <c r="F31" s="49">
        <f>_xlfn.STDEV.S(D31:D33)</f>
        <v>4.0414518843273836E-3</v>
      </c>
      <c r="G31" s="49">
        <f>(E31-0.0062)/0.0007</f>
        <v>270.1904761904762</v>
      </c>
      <c r="H31" s="49">
        <f>((400-G31)/400)*100</f>
        <v>32.452380952380949</v>
      </c>
      <c r="I31" s="17">
        <f>((400-G31)/1)*0.05</f>
        <v>6.4904761904761905</v>
      </c>
      <c r="K31" s="68"/>
      <c r="L31" s="46">
        <v>40</v>
      </c>
      <c r="M31" s="46">
        <v>0.26200000000000001</v>
      </c>
      <c r="N31" s="46">
        <f>AVERAGE(M31:M33)</f>
        <v>0.26133333333333336</v>
      </c>
      <c r="O31" s="46">
        <f>_xlfn.STDEV.S(M31:M33)</f>
        <v>5.7735026918962634E-4</v>
      </c>
      <c r="P31" s="46">
        <f>(N31-0.0062)/0.0007</f>
        <v>364.47619047619054</v>
      </c>
      <c r="Q31" s="46">
        <f>((500-P31)/500)*100</f>
        <v>27.104761904761894</v>
      </c>
      <c r="R31" s="10">
        <f>((500-P31)/1)*0.05</f>
        <v>6.7761904761904734</v>
      </c>
    </row>
    <row r="32" spans="2:18" x14ac:dyDescent="0.25">
      <c r="B32" s="52"/>
      <c r="C32" s="49"/>
      <c r="D32" s="49">
        <v>0.193</v>
      </c>
      <c r="E32" s="49"/>
      <c r="F32" s="49"/>
      <c r="G32" s="49"/>
      <c r="H32" s="49"/>
      <c r="I32" s="17"/>
      <c r="K32" s="68"/>
      <c r="L32" s="46"/>
      <c r="M32" s="46">
        <v>0.26100000000000001</v>
      </c>
      <c r="N32" s="46"/>
      <c r="O32" s="46"/>
      <c r="P32" s="46"/>
      <c r="Q32" s="46"/>
      <c r="R32" s="10"/>
    </row>
    <row r="33" spans="2:18" x14ac:dyDescent="0.25">
      <c r="B33" s="52"/>
      <c r="C33" s="50"/>
      <c r="D33" s="50">
        <v>0.2</v>
      </c>
      <c r="E33" s="50"/>
      <c r="F33" s="50"/>
      <c r="G33" s="50"/>
      <c r="H33" s="50"/>
      <c r="I33" s="19"/>
      <c r="K33" s="68"/>
      <c r="L33" s="47"/>
      <c r="M33" s="47">
        <v>0.26100000000000001</v>
      </c>
      <c r="N33" s="47"/>
      <c r="O33" s="47"/>
      <c r="P33" s="47"/>
      <c r="Q33" s="47"/>
      <c r="R33" s="11"/>
    </row>
    <row r="34" spans="2:18" x14ac:dyDescent="0.25">
      <c r="B34" s="52"/>
      <c r="C34" s="49"/>
      <c r="D34" s="49"/>
      <c r="E34" s="49"/>
      <c r="F34" s="49"/>
      <c r="G34" s="49"/>
      <c r="H34" s="49"/>
      <c r="I34" s="17"/>
      <c r="K34" s="68"/>
      <c r="L34" s="46"/>
      <c r="M34" s="46"/>
      <c r="N34" s="46"/>
      <c r="O34" s="46"/>
      <c r="P34" s="46"/>
      <c r="Q34" s="46"/>
      <c r="R34" s="10"/>
    </row>
    <row r="35" spans="2:18" x14ac:dyDescent="0.25">
      <c r="B35" s="52"/>
      <c r="C35" s="49">
        <v>45</v>
      </c>
      <c r="D35" s="49">
        <v>0.192</v>
      </c>
      <c r="E35" s="49">
        <f>AVERAGE(D35:D37)</f>
        <v>0.19133333333333336</v>
      </c>
      <c r="F35" s="49">
        <f>_xlfn.STDEV.S(D35:D37)</f>
        <v>1.1547005383792527E-3</v>
      </c>
      <c r="G35" s="49">
        <f>(E35-0.0062)/0.0007</f>
        <v>264.47619047619048</v>
      </c>
      <c r="H35" s="49">
        <f>((400-G35)/400)*100</f>
        <v>33.88095238095238</v>
      </c>
      <c r="I35" s="17">
        <f>((400-G35)/1)*0.05</f>
        <v>6.7761904761904761</v>
      </c>
      <c r="K35" s="68"/>
      <c r="L35" s="46">
        <v>45</v>
      </c>
      <c r="M35" s="46">
        <v>0.24399999999999999</v>
      </c>
      <c r="N35" s="46">
        <f>AVERAGE(M35:M37)</f>
        <v>0.24533333333333332</v>
      </c>
      <c r="O35" s="46">
        <f>_xlfn.STDEV.S(M35:M37)</f>
        <v>2.3094010767585054E-3</v>
      </c>
      <c r="P35" s="46">
        <f>(N35-0.0062)/0.0007</f>
        <v>341.61904761904759</v>
      </c>
      <c r="Q35" s="46">
        <f>((500-P35)/500)*100</f>
        <v>31.676190476190481</v>
      </c>
      <c r="R35" s="10">
        <f>((500-P35)/1)*0.05</f>
        <v>7.9190476190476211</v>
      </c>
    </row>
    <row r="36" spans="2:18" x14ac:dyDescent="0.25">
      <c r="B36" s="52"/>
      <c r="C36" s="49"/>
      <c r="D36" s="49">
        <v>0.19</v>
      </c>
      <c r="E36" s="49"/>
      <c r="F36" s="49"/>
      <c r="G36" s="49"/>
      <c r="H36" s="49"/>
      <c r="I36" s="17"/>
      <c r="K36" s="68"/>
      <c r="L36" s="46"/>
      <c r="M36" s="46">
        <v>0.24399999999999999</v>
      </c>
      <c r="N36" s="46"/>
      <c r="O36" s="46"/>
      <c r="P36" s="46"/>
      <c r="Q36" s="46"/>
      <c r="R36" s="10"/>
    </row>
    <row r="37" spans="2:18" x14ac:dyDescent="0.25">
      <c r="B37" s="52"/>
      <c r="C37" s="50"/>
      <c r="D37" s="50">
        <v>0.192</v>
      </c>
      <c r="E37" s="50"/>
      <c r="F37" s="50"/>
      <c r="G37" s="50"/>
      <c r="H37" s="50"/>
      <c r="I37" s="19"/>
      <c r="K37" s="68"/>
      <c r="L37" s="47"/>
      <c r="M37" s="47">
        <v>0.248</v>
      </c>
      <c r="N37" s="47"/>
      <c r="O37" s="47"/>
      <c r="P37" s="47"/>
      <c r="Q37" s="47"/>
      <c r="R37" s="11"/>
    </row>
    <row r="38" spans="2:18" x14ac:dyDescent="0.25">
      <c r="B38" s="52"/>
      <c r="C38" s="49"/>
      <c r="D38" s="49"/>
      <c r="E38" s="49"/>
      <c r="F38" s="49"/>
      <c r="G38" s="49"/>
      <c r="H38" s="49"/>
      <c r="I38" s="17"/>
      <c r="K38" s="68"/>
      <c r="L38" s="46"/>
      <c r="M38" s="46"/>
      <c r="N38" s="46"/>
      <c r="O38" s="46"/>
      <c r="P38" s="46"/>
      <c r="Q38" s="46"/>
      <c r="R38" s="10"/>
    </row>
    <row r="39" spans="2:18" x14ac:dyDescent="0.25">
      <c r="B39" s="52"/>
      <c r="C39" s="49">
        <v>50</v>
      </c>
      <c r="D39" s="49">
        <v>0.182</v>
      </c>
      <c r="E39" s="49">
        <f>AVERAGE(D39:D41)</f>
        <v>0.18633333333333332</v>
      </c>
      <c r="F39" s="49">
        <f>_xlfn.STDEV.S(D39:D41)</f>
        <v>3.7859388972001857E-3</v>
      </c>
      <c r="G39" s="49">
        <f>(E39-0.0062)/0.0007</f>
        <v>257.33333333333331</v>
      </c>
      <c r="H39" s="49">
        <f>((400-G39)/400)*100</f>
        <v>35.666666666666671</v>
      </c>
      <c r="I39" s="17">
        <f>((400-G39)/1)*0.05</f>
        <v>7.1333333333333346</v>
      </c>
      <c r="K39" s="68"/>
      <c r="L39" s="46">
        <v>50</v>
      </c>
      <c r="M39" s="46">
        <v>0.23799999999999999</v>
      </c>
      <c r="N39" s="46">
        <f>AVERAGE(M39:M41)</f>
        <v>0.23733333333333331</v>
      </c>
      <c r="O39" s="46">
        <f>_xlfn.STDEV.S(M39:M41)</f>
        <v>1.1547005383792527E-3</v>
      </c>
      <c r="P39" s="46">
        <f>(N39-0.0062)/0.0007</f>
        <v>330.19047619047615</v>
      </c>
      <c r="Q39" s="46">
        <f>((500-P39)/500)*100</f>
        <v>33.961904761904769</v>
      </c>
      <c r="R39" s="10">
        <f>((500-P39)/1)*0.05</f>
        <v>8.4904761904761923</v>
      </c>
    </row>
    <row r="40" spans="2:18" x14ac:dyDescent="0.25">
      <c r="B40" s="52"/>
      <c r="C40" s="49"/>
      <c r="D40" s="49">
        <v>0.188</v>
      </c>
      <c r="E40" s="49"/>
      <c r="F40" s="49"/>
      <c r="G40" s="49"/>
      <c r="H40" s="49"/>
      <c r="I40" s="17"/>
      <c r="K40" s="68"/>
      <c r="L40" s="46"/>
      <c r="M40" s="46">
        <v>0.23799999999999999</v>
      </c>
      <c r="N40" s="46"/>
      <c r="O40" s="46"/>
      <c r="P40" s="46"/>
      <c r="Q40" s="46"/>
      <c r="R40" s="10"/>
    </row>
    <row r="41" spans="2:18" x14ac:dyDescent="0.25">
      <c r="B41" s="52"/>
      <c r="C41" s="50"/>
      <c r="D41" s="50">
        <v>0.189</v>
      </c>
      <c r="E41" s="50"/>
      <c r="F41" s="50"/>
      <c r="G41" s="50"/>
      <c r="H41" s="50"/>
      <c r="I41" s="19"/>
      <c r="K41" s="68"/>
      <c r="L41" s="47"/>
      <c r="M41" s="47">
        <v>0.23599999999999999</v>
      </c>
      <c r="N41" s="47"/>
      <c r="O41" s="47"/>
      <c r="P41" s="47"/>
      <c r="Q41" s="47"/>
      <c r="R41" s="11"/>
    </row>
    <row r="42" spans="2:18" x14ac:dyDescent="0.25">
      <c r="B42" s="52"/>
      <c r="C42" s="49"/>
      <c r="D42" s="49"/>
      <c r="E42" s="49"/>
      <c r="F42" s="49"/>
      <c r="G42" s="49"/>
      <c r="H42" s="49"/>
      <c r="I42" s="17"/>
      <c r="K42" s="68"/>
      <c r="L42" s="46"/>
      <c r="M42" s="46"/>
      <c r="N42" s="46"/>
      <c r="O42" s="46"/>
      <c r="P42" s="46"/>
      <c r="Q42" s="46"/>
      <c r="R42" s="10"/>
    </row>
    <row r="43" spans="2:18" x14ac:dyDescent="0.25">
      <c r="B43" s="52"/>
      <c r="C43" s="49">
        <v>55</v>
      </c>
      <c r="D43" s="49">
        <v>0.16600000000000001</v>
      </c>
      <c r="E43" s="49">
        <f>AVERAGE(D43:D45)</f>
        <v>0.17033333333333331</v>
      </c>
      <c r="F43" s="49">
        <f>_xlfn.STDEV.S(D43:D45)</f>
        <v>3.7859388972001696E-3</v>
      </c>
      <c r="G43" s="49">
        <f>(E43-0.0062)/0.0007</f>
        <v>234.47619047619042</v>
      </c>
      <c r="H43" s="49">
        <f>((400-G43)/400)*100</f>
        <v>41.380952380952394</v>
      </c>
      <c r="I43" s="17">
        <f>((400-G43)/1)*0.05</f>
        <v>8.2761904761904788</v>
      </c>
      <c r="K43" s="68"/>
      <c r="L43" s="46">
        <v>55</v>
      </c>
      <c r="M43" s="46">
        <v>0.224</v>
      </c>
      <c r="N43" s="46">
        <f>AVERAGE(M43:M45)</f>
        <v>0.223</v>
      </c>
      <c r="O43" s="46">
        <f>_xlfn.STDEV.S(M43:M45)</f>
        <v>3.6055512754639926E-3</v>
      </c>
      <c r="P43" s="46">
        <f>(N43-0.0062)/0.0007</f>
        <v>309.71428571428572</v>
      </c>
      <c r="Q43" s="46">
        <f>((500-P43)/500)*100</f>
        <v>38.057142857142857</v>
      </c>
      <c r="R43" s="10">
        <f>((500-P43)/1)*0.05</f>
        <v>9.5142857142857142</v>
      </c>
    </row>
    <row r="44" spans="2:18" x14ac:dyDescent="0.25">
      <c r="B44" s="52"/>
      <c r="C44" s="49"/>
      <c r="D44" s="49">
        <v>0.17199999999999999</v>
      </c>
      <c r="E44" s="49"/>
      <c r="F44" s="49"/>
      <c r="G44" s="49"/>
      <c r="H44" s="49"/>
      <c r="I44" s="17"/>
      <c r="K44" s="68"/>
      <c r="L44" s="46"/>
      <c r="M44" s="46">
        <v>0.22600000000000001</v>
      </c>
      <c r="N44" s="46"/>
      <c r="O44" s="46"/>
      <c r="P44" s="46"/>
      <c r="Q44" s="46"/>
      <c r="R44" s="10"/>
    </row>
    <row r="45" spans="2:18" x14ac:dyDescent="0.25">
      <c r="B45" s="56"/>
      <c r="C45" s="50"/>
      <c r="D45" s="50">
        <v>0.17299999999999999</v>
      </c>
      <c r="E45" s="50"/>
      <c r="F45" s="50"/>
      <c r="G45" s="50"/>
      <c r="H45" s="50"/>
      <c r="I45" s="19"/>
      <c r="K45" s="69"/>
      <c r="L45" s="47"/>
      <c r="M45" s="47">
        <v>0.219</v>
      </c>
      <c r="N45" s="47"/>
      <c r="O45" s="47"/>
      <c r="P45" s="47"/>
      <c r="Q45" s="47"/>
      <c r="R45" s="11"/>
    </row>
    <row r="50" spans="2:12" x14ac:dyDescent="0.25">
      <c r="C50" s="147" t="s">
        <v>33</v>
      </c>
      <c r="D50" s="287" t="s">
        <v>0</v>
      </c>
      <c r="E50" s="287"/>
      <c r="F50" s="287"/>
      <c r="G50" s="272"/>
    </row>
    <row r="51" spans="2:12" x14ac:dyDescent="0.25">
      <c r="C51" s="93"/>
      <c r="D51" s="145">
        <v>150</v>
      </c>
      <c r="E51" s="145">
        <v>300</v>
      </c>
      <c r="F51" s="145">
        <v>400</v>
      </c>
      <c r="G51" s="146">
        <v>500</v>
      </c>
    </row>
    <row r="52" spans="2:12" x14ac:dyDescent="0.25">
      <c r="C52" s="93">
        <v>30</v>
      </c>
      <c r="D52" s="46">
        <f>H6</f>
        <v>42.73015873015872</v>
      </c>
      <c r="E52" s="46">
        <f>Q6</f>
        <v>30.888888888888893</v>
      </c>
      <c r="F52" s="46">
        <f>H27</f>
        <v>26.261904761904759</v>
      </c>
      <c r="G52" s="10">
        <f>Q27</f>
        <v>23.199999999999989</v>
      </c>
    </row>
    <row r="53" spans="2:12" x14ac:dyDescent="0.25">
      <c r="C53" s="93">
        <v>40</v>
      </c>
      <c r="D53" s="46">
        <f>H10</f>
        <v>48.126984126984127</v>
      </c>
      <c r="E53" s="46">
        <f>Q10</f>
        <v>35.968253968253975</v>
      </c>
      <c r="F53" s="46">
        <f>H31</f>
        <v>32.452380952380949</v>
      </c>
      <c r="G53" s="10">
        <f>Q31</f>
        <v>27.104761904761894</v>
      </c>
    </row>
    <row r="54" spans="2:12" x14ac:dyDescent="0.25">
      <c r="C54" s="93">
        <v>45</v>
      </c>
      <c r="D54" s="46">
        <f>H14</f>
        <v>52.888888888888886</v>
      </c>
      <c r="E54" s="46">
        <f>Q14</f>
        <v>38.190476190476197</v>
      </c>
      <c r="F54" s="46">
        <f>H35</f>
        <v>33.88095238095238</v>
      </c>
      <c r="G54" s="10">
        <f>Q35</f>
        <v>31.676190476190481</v>
      </c>
    </row>
    <row r="55" spans="2:12" x14ac:dyDescent="0.25">
      <c r="C55" s="93">
        <v>50</v>
      </c>
      <c r="D55" s="46">
        <f>H18</f>
        <v>55.746031746031747</v>
      </c>
      <c r="E55" s="46">
        <f>Q18</f>
        <v>42.476190476190474</v>
      </c>
      <c r="F55" s="46">
        <f>H39</f>
        <v>35.666666666666671</v>
      </c>
      <c r="G55" s="10">
        <f>Q39</f>
        <v>33.961904761904769</v>
      </c>
    </row>
    <row r="56" spans="2:12" x14ac:dyDescent="0.25">
      <c r="C56" s="95">
        <v>55</v>
      </c>
      <c r="D56" s="47">
        <f>H22</f>
        <v>60.507936507936513</v>
      </c>
      <c r="E56" s="47">
        <f>Q22</f>
        <v>44.857142857142861</v>
      </c>
      <c r="F56" s="47">
        <f>H43</f>
        <v>41.380952380952394</v>
      </c>
      <c r="G56" s="11">
        <f>Q43</f>
        <v>38.057142857142857</v>
      </c>
    </row>
    <row r="63" spans="2:12" ht="15.75" x14ac:dyDescent="0.25">
      <c r="B63" s="292" t="s">
        <v>51</v>
      </c>
      <c r="C63" s="293"/>
      <c r="D63" s="293"/>
      <c r="E63" s="293"/>
      <c r="F63" s="293"/>
      <c r="G63" s="293"/>
      <c r="H63" s="294"/>
      <c r="I63" s="231"/>
      <c r="J63" s="231"/>
      <c r="K63" s="231"/>
      <c r="L63" s="231"/>
    </row>
    <row r="64" spans="2:12" x14ac:dyDescent="0.25">
      <c r="B64" s="277" t="s">
        <v>52</v>
      </c>
      <c r="C64" s="288"/>
      <c r="D64" s="278"/>
      <c r="E64" s="273" t="s">
        <v>49</v>
      </c>
      <c r="F64" s="274"/>
      <c r="G64" s="269" t="s">
        <v>50</v>
      </c>
      <c r="H64" s="270"/>
      <c r="I64" s="227"/>
      <c r="J64" s="261"/>
      <c r="K64" s="261"/>
      <c r="L64" s="261"/>
    </row>
    <row r="65" spans="2:12" ht="18" x14ac:dyDescent="0.35">
      <c r="B65" s="43" t="s">
        <v>33</v>
      </c>
      <c r="C65" s="44" t="s">
        <v>42</v>
      </c>
      <c r="D65" s="44" t="s">
        <v>44</v>
      </c>
      <c r="E65" s="12" t="s">
        <v>45</v>
      </c>
      <c r="F65" s="13" t="s">
        <v>46</v>
      </c>
      <c r="G65" s="21" t="s">
        <v>47</v>
      </c>
      <c r="H65" s="22" t="s">
        <v>48</v>
      </c>
      <c r="I65" s="227"/>
      <c r="J65" s="227"/>
      <c r="K65" s="227"/>
      <c r="L65" s="227"/>
    </row>
    <row r="66" spans="2:12" x14ac:dyDescent="0.25">
      <c r="B66" s="79">
        <v>30</v>
      </c>
      <c r="C66" s="45">
        <v>150</v>
      </c>
      <c r="D66" s="45">
        <f>I6</f>
        <v>3.204761904761904</v>
      </c>
      <c r="E66" s="14">
        <f>G6</f>
        <v>85.904761904761926</v>
      </c>
      <c r="F66" s="15">
        <f>E66/D66</f>
        <v>26.805349182763756</v>
      </c>
      <c r="G66" s="223">
        <f>LOG10(D66)</f>
        <v>0.50579576949005745</v>
      </c>
      <c r="H66" s="224">
        <f>LOG10(E66)</f>
        <v>1.9340172384720038</v>
      </c>
      <c r="I66" s="228"/>
      <c r="J66" s="228"/>
      <c r="K66" s="228"/>
      <c r="L66" s="228"/>
    </row>
    <row r="67" spans="2:12" x14ac:dyDescent="0.25">
      <c r="B67" s="80"/>
      <c r="C67" s="46">
        <v>300</v>
      </c>
      <c r="D67" s="46">
        <f>R6</f>
        <v>4.6333333333333346</v>
      </c>
      <c r="E67" s="16">
        <f>P6</f>
        <v>207.33333333333331</v>
      </c>
      <c r="F67" s="17">
        <f t="shared" ref="F67:F85" si="0">E67/D67</f>
        <v>44.748201438848902</v>
      </c>
      <c r="G67" s="225">
        <f t="shared" ref="G67:G85" si="1">LOG10(D67)</f>
        <v>0.66589354553443281</v>
      </c>
      <c r="H67" s="226">
        <f t="shared" ref="H67:H85" si="2">LOG10(E67)</f>
        <v>2.3166691299711561</v>
      </c>
      <c r="I67" s="228"/>
      <c r="J67" s="228"/>
      <c r="K67" s="228"/>
      <c r="L67" s="228"/>
    </row>
    <row r="68" spans="2:12" x14ac:dyDescent="0.25">
      <c r="B68" s="80"/>
      <c r="C68" s="46">
        <v>400</v>
      </c>
      <c r="D68" s="46">
        <f>I27</f>
        <v>5.2523809523809524</v>
      </c>
      <c r="E68" s="16">
        <f>G27</f>
        <v>294.95238095238096</v>
      </c>
      <c r="F68" s="17">
        <f t="shared" si="0"/>
        <v>56.155938349954674</v>
      </c>
      <c r="G68" s="225">
        <f t="shared" si="1"/>
        <v>0.72035621770627134</v>
      </c>
      <c r="H68" s="226">
        <f t="shared" si="2"/>
        <v>2.4697519062868487</v>
      </c>
      <c r="I68" s="228"/>
      <c r="J68" s="228"/>
      <c r="K68" s="228"/>
      <c r="L68" s="228"/>
    </row>
    <row r="69" spans="2:12" x14ac:dyDescent="0.25">
      <c r="B69" s="81"/>
      <c r="C69" s="47">
        <v>500</v>
      </c>
      <c r="D69" s="47">
        <f>R27</f>
        <v>5.7999999999999972</v>
      </c>
      <c r="E69" s="18">
        <f>P27</f>
        <v>384.00000000000006</v>
      </c>
      <c r="F69" s="19">
        <f t="shared" si="0"/>
        <v>66.206896551724185</v>
      </c>
      <c r="G69" s="221">
        <f t="shared" si="1"/>
        <v>0.76342799356293711</v>
      </c>
      <c r="H69" s="222">
        <f t="shared" si="2"/>
        <v>2.5843312243675309</v>
      </c>
      <c r="I69" s="228"/>
      <c r="J69" s="228"/>
      <c r="K69" s="228"/>
      <c r="L69" s="228"/>
    </row>
    <row r="70" spans="2:12" x14ac:dyDescent="0.25">
      <c r="B70" s="79">
        <v>40</v>
      </c>
      <c r="C70" s="45">
        <v>150</v>
      </c>
      <c r="D70" s="45">
        <f>I10</f>
        <v>3.6095238095238096</v>
      </c>
      <c r="E70" s="14">
        <f>G10</f>
        <v>77.80952380952381</v>
      </c>
      <c r="F70" s="15">
        <f t="shared" si="0"/>
        <v>21.556728232189972</v>
      </c>
      <c r="G70" s="223">
        <f t="shared" si="1"/>
        <v>0.55744991089813423</v>
      </c>
      <c r="H70" s="224">
        <f t="shared" si="2"/>
        <v>1.8910327574624775</v>
      </c>
      <c r="I70" s="228"/>
      <c r="J70" s="228"/>
      <c r="K70" s="228"/>
      <c r="L70" s="228"/>
    </row>
    <row r="71" spans="2:12" x14ac:dyDescent="0.25">
      <c r="B71" s="80"/>
      <c r="C71" s="46">
        <v>300</v>
      </c>
      <c r="D71" s="46">
        <f>R10</f>
        <v>5.3952380952380965</v>
      </c>
      <c r="E71" s="16">
        <f>P10</f>
        <v>192.09523809523807</v>
      </c>
      <c r="F71" s="17">
        <f t="shared" si="0"/>
        <v>35.6045895851721</v>
      </c>
      <c r="G71" s="225">
        <f t="shared" si="1"/>
        <v>0.73201061512947807</v>
      </c>
      <c r="H71" s="226">
        <f t="shared" si="2"/>
        <v>2.2835165991428275</v>
      </c>
      <c r="I71" s="228"/>
      <c r="J71" s="228"/>
      <c r="K71" s="228"/>
      <c r="L71" s="228"/>
    </row>
    <row r="72" spans="2:12" x14ac:dyDescent="0.25">
      <c r="B72" s="80"/>
      <c r="C72" s="46">
        <v>400</v>
      </c>
      <c r="D72" s="46">
        <f>I31</f>
        <v>6.4904761904761905</v>
      </c>
      <c r="E72" s="16">
        <f>G31</f>
        <v>270.1904761904762</v>
      </c>
      <c r="F72" s="17">
        <f t="shared" si="0"/>
        <v>41.628760088041091</v>
      </c>
      <c r="G72" s="225">
        <f t="shared" si="1"/>
        <v>0.8122765611007543</v>
      </c>
      <c r="H72" s="226">
        <f t="shared" si="2"/>
        <v>2.4316700367259143</v>
      </c>
      <c r="I72" s="228"/>
      <c r="J72" s="228"/>
      <c r="K72" s="228"/>
      <c r="L72" s="228"/>
    </row>
    <row r="73" spans="2:12" x14ac:dyDescent="0.25">
      <c r="B73" s="81"/>
      <c r="C73" s="47">
        <v>500</v>
      </c>
      <c r="D73" s="47">
        <f>R31</f>
        <v>6.7761904761904734</v>
      </c>
      <c r="E73" s="18">
        <f>P31</f>
        <v>364.47619047619054</v>
      </c>
      <c r="F73" s="19">
        <f t="shared" si="0"/>
        <v>53.787772312016898</v>
      </c>
      <c r="G73" s="221">
        <f t="shared" si="1"/>
        <v>0.83098560535036492</v>
      </c>
      <c r="H73" s="222">
        <f t="shared" si="2"/>
        <v>2.5616691631545612</v>
      </c>
      <c r="I73" s="228"/>
      <c r="J73" s="228"/>
      <c r="K73" s="228"/>
      <c r="L73" s="228"/>
    </row>
    <row r="74" spans="2:12" x14ac:dyDescent="0.25">
      <c r="B74" s="79">
        <v>45</v>
      </c>
      <c r="C74" s="48">
        <v>150</v>
      </c>
      <c r="D74" s="48">
        <f>I14</f>
        <v>3.9666666666666668</v>
      </c>
      <c r="E74" s="16">
        <f>G14</f>
        <v>70.666666666666671</v>
      </c>
      <c r="F74" s="17">
        <f t="shared" si="0"/>
        <v>17.815126050420169</v>
      </c>
      <c r="G74" s="225">
        <f t="shared" si="1"/>
        <v>0.59842570667286832</v>
      </c>
      <c r="H74" s="226">
        <f t="shared" si="2"/>
        <v>1.8492146062090891</v>
      </c>
      <c r="I74" s="228"/>
      <c r="J74" s="228"/>
      <c r="K74" s="228"/>
      <c r="L74" s="228"/>
    </row>
    <row r="75" spans="2:12" x14ac:dyDescent="0.25">
      <c r="B75" s="80"/>
      <c r="C75" s="48">
        <v>300</v>
      </c>
      <c r="D75" s="48">
        <f>R14</f>
        <v>5.7285714285714295</v>
      </c>
      <c r="E75" s="16">
        <f>P14</f>
        <v>185.42857142857142</v>
      </c>
      <c r="F75" s="17">
        <f t="shared" si="0"/>
        <v>32.369077306733161</v>
      </c>
      <c r="G75" s="225">
        <f t="shared" si="1"/>
        <v>0.75804633260592558</v>
      </c>
      <c r="H75" s="226">
        <f t="shared" si="2"/>
        <v>2.2681766524500935</v>
      </c>
      <c r="I75" s="228"/>
      <c r="J75" s="228"/>
      <c r="K75" s="228"/>
      <c r="L75" s="228"/>
    </row>
    <row r="76" spans="2:12" x14ac:dyDescent="0.25">
      <c r="B76" s="80"/>
      <c r="C76" s="48">
        <v>400</v>
      </c>
      <c r="D76" s="48">
        <f>I35</f>
        <v>6.7761904761904761</v>
      </c>
      <c r="E76" s="16">
        <f>G35</f>
        <v>264.47619047619048</v>
      </c>
      <c r="F76" s="17">
        <f t="shared" si="0"/>
        <v>39.030217849613493</v>
      </c>
      <c r="G76" s="225">
        <f t="shared" si="1"/>
        <v>0.83098560535036503</v>
      </c>
      <c r="H76" s="226">
        <f t="shared" si="2"/>
        <v>2.4223865806803193</v>
      </c>
      <c r="I76" s="228"/>
      <c r="J76" s="228"/>
      <c r="K76" s="228"/>
      <c r="L76" s="228"/>
    </row>
    <row r="77" spans="2:12" x14ac:dyDescent="0.25">
      <c r="B77" s="81"/>
      <c r="C77" s="47">
        <v>500</v>
      </c>
      <c r="D77" s="47">
        <f>R35</f>
        <v>7.9190476190476211</v>
      </c>
      <c r="E77" s="18">
        <f>P35</f>
        <v>341.61904761904759</v>
      </c>
      <c r="F77" s="19">
        <f t="shared" si="0"/>
        <v>43.138905592303054</v>
      </c>
      <c r="G77" s="221">
        <f t="shared" si="1"/>
        <v>0.89867295448560014</v>
      </c>
      <c r="H77" s="222">
        <f t="shared" si="2"/>
        <v>2.5335420776060285</v>
      </c>
      <c r="I77" s="228"/>
      <c r="J77" s="228"/>
      <c r="K77" s="228"/>
      <c r="L77" s="228"/>
    </row>
    <row r="78" spans="2:12" x14ac:dyDescent="0.25">
      <c r="B78" s="79">
        <v>50</v>
      </c>
      <c r="C78" s="48">
        <v>150</v>
      </c>
      <c r="D78" s="48">
        <f>I18</f>
        <v>4.1809523809523812</v>
      </c>
      <c r="E78" s="16">
        <f>G18</f>
        <v>66.38095238095238</v>
      </c>
      <c r="F78" s="17">
        <f t="shared" si="0"/>
        <v>15.876993166287015</v>
      </c>
      <c r="G78" s="225">
        <f t="shared" si="1"/>
        <v>0.62127522117218337</v>
      </c>
      <c r="H78" s="226">
        <f t="shared" si="2"/>
        <v>1.8220434790280713</v>
      </c>
      <c r="I78" s="228"/>
      <c r="J78" s="228"/>
      <c r="K78" s="228"/>
      <c r="L78" s="228"/>
    </row>
    <row r="79" spans="2:12" x14ac:dyDescent="0.25">
      <c r="B79" s="80"/>
      <c r="C79" s="48">
        <v>300</v>
      </c>
      <c r="D79" s="48">
        <f>R18</f>
        <v>6.371428571428571</v>
      </c>
      <c r="E79" s="16">
        <f>P18</f>
        <v>172.57142857142858</v>
      </c>
      <c r="F79" s="17">
        <f t="shared" si="0"/>
        <v>27.085201793721978</v>
      </c>
      <c r="G79" s="225">
        <f t="shared" si="1"/>
        <v>0.80423681869788499</v>
      </c>
      <c r="H79" s="226">
        <f t="shared" si="2"/>
        <v>2.2369688942708561</v>
      </c>
      <c r="I79" s="228"/>
      <c r="J79" s="228"/>
      <c r="K79" s="228"/>
      <c r="L79" s="228"/>
    </row>
    <row r="80" spans="2:12" x14ac:dyDescent="0.25">
      <c r="B80" s="80"/>
      <c r="C80" s="48">
        <v>400</v>
      </c>
      <c r="D80" s="48">
        <f>I39</f>
        <v>7.1333333333333346</v>
      </c>
      <c r="E80" s="16">
        <f>G39</f>
        <v>257.33333333333331</v>
      </c>
      <c r="F80" s="17">
        <f t="shared" si="0"/>
        <v>36.074766355140177</v>
      </c>
      <c r="G80" s="225">
        <f t="shared" si="1"/>
        <v>0.85329251862952848</v>
      </c>
      <c r="H80" s="226">
        <f t="shared" si="2"/>
        <v>2.4104960456160738</v>
      </c>
      <c r="I80" s="228"/>
      <c r="J80" s="228"/>
      <c r="K80" s="228"/>
      <c r="L80" s="228"/>
    </row>
    <row r="81" spans="1:12" x14ac:dyDescent="0.25">
      <c r="B81" s="81"/>
      <c r="C81" s="47">
        <v>500</v>
      </c>
      <c r="D81" s="47">
        <f>R39</f>
        <v>8.4904761904761923</v>
      </c>
      <c r="E81" s="18">
        <f>P39</f>
        <v>330.19047619047615</v>
      </c>
      <c r="F81" s="19">
        <f t="shared" si="0"/>
        <v>38.889512058328648</v>
      </c>
      <c r="G81" s="221">
        <f t="shared" si="1"/>
        <v>0.9289320484414354</v>
      </c>
      <c r="H81" s="222">
        <f t="shared" si="2"/>
        <v>2.5187645425864584</v>
      </c>
      <c r="I81" s="228"/>
      <c r="J81" s="228"/>
      <c r="K81" s="228"/>
      <c r="L81" s="228"/>
    </row>
    <row r="82" spans="1:12" x14ac:dyDescent="0.25">
      <c r="B82" s="79">
        <v>55</v>
      </c>
      <c r="C82" s="48">
        <v>150</v>
      </c>
      <c r="D82" s="48">
        <f>I22</f>
        <v>4.538095238095238</v>
      </c>
      <c r="E82" s="16">
        <f>G22</f>
        <v>59.238095238095248</v>
      </c>
      <c r="F82" s="17">
        <f t="shared" si="0"/>
        <v>13.053515215110181</v>
      </c>
      <c r="G82" s="225">
        <f t="shared" si="1"/>
        <v>0.65687360590440713</v>
      </c>
      <c r="H82" s="226">
        <f t="shared" si="2"/>
        <v>1.7726010856208807</v>
      </c>
      <c r="I82" s="228"/>
      <c r="J82" s="228"/>
      <c r="K82" s="228"/>
      <c r="L82" s="228"/>
    </row>
    <row r="83" spans="1:12" x14ac:dyDescent="0.25">
      <c r="B83" s="80"/>
      <c r="C83" s="48">
        <v>300</v>
      </c>
      <c r="D83" s="48">
        <f>R22</f>
        <v>6.7285714285714295</v>
      </c>
      <c r="E83" s="16">
        <f>P22</f>
        <v>165.42857142857142</v>
      </c>
      <c r="F83" s="17">
        <f t="shared" si="0"/>
        <v>24.585987261146492</v>
      </c>
      <c r="G83" s="225">
        <f t="shared" si="1"/>
        <v>0.82792286711463936</v>
      </c>
      <c r="H83" s="226">
        <f t="shared" si="2"/>
        <v>2.2186105193771604</v>
      </c>
      <c r="I83" s="228"/>
      <c r="J83" s="228"/>
      <c r="K83" s="228"/>
      <c r="L83" s="228"/>
    </row>
    <row r="84" spans="1:12" x14ac:dyDescent="0.25">
      <c r="B84" s="80"/>
      <c r="C84" s="48">
        <v>400</v>
      </c>
      <c r="D84" s="48">
        <f>I43</f>
        <v>8.2761904761904788</v>
      </c>
      <c r="E84" s="16">
        <f>G43</f>
        <v>234.47619047619042</v>
      </c>
      <c r="F84" s="17">
        <f t="shared" si="0"/>
        <v>28.331415420022999</v>
      </c>
      <c r="G84" s="225">
        <f t="shared" si="1"/>
        <v>0.91783047737872858</v>
      </c>
      <c r="H84" s="226">
        <f t="shared" si="2"/>
        <v>2.3700987495253591</v>
      </c>
      <c r="I84" s="228"/>
      <c r="J84" s="228"/>
      <c r="K84" s="228"/>
      <c r="L84" s="228"/>
    </row>
    <row r="85" spans="1:12" x14ac:dyDescent="0.25">
      <c r="B85" s="81"/>
      <c r="C85" s="47">
        <v>500</v>
      </c>
      <c r="D85" s="47">
        <f>R43</f>
        <v>9.5142857142857142</v>
      </c>
      <c r="E85" s="18">
        <f>P43</f>
        <v>309.71428571428572</v>
      </c>
      <c r="F85" s="19">
        <f t="shared" si="0"/>
        <v>32.552552552552555</v>
      </c>
      <c r="G85" s="221">
        <f t="shared" si="1"/>
        <v>0.97837618915604418</v>
      </c>
      <c r="H85" s="222">
        <f t="shared" si="2"/>
        <v>2.4909612378520927</v>
      </c>
      <c r="I85" s="228"/>
      <c r="J85" s="228"/>
      <c r="K85" s="228"/>
      <c r="L85" s="228"/>
    </row>
    <row r="90" spans="1:12" x14ac:dyDescent="0.25">
      <c r="B90" s="289" t="s">
        <v>51</v>
      </c>
      <c r="C90" s="290"/>
      <c r="D90" s="290"/>
      <c r="E90" s="290"/>
      <c r="F90" s="290"/>
      <c r="G90" s="290"/>
      <c r="H90" s="291"/>
      <c r="I90" s="229"/>
      <c r="J90" s="229"/>
      <c r="K90" s="229"/>
      <c r="L90" s="229"/>
    </row>
    <row r="91" spans="1:12" x14ac:dyDescent="0.25">
      <c r="B91" s="303" t="s">
        <v>52</v>
      </c>
      <c r="C91" s="303"/>
      <c r="D91" s="303"/>
      <c r="E91" s="303" t="s">
        <v>49</v>
      </c>
      <c r="F91" s="303"/>
      <c r="G91" s="303" t="s">
        <v>50</v>
      </c>
      <c r="H91" s="303"/>
      <c r="I91" s="227"/>
      <c r="J91" s="261"/>
      <c r="K91" s="261"/>
      <c r="L91" s="261"/>
    </row>
    <row r="92" spans="1:12" ht="18" x14ac:dyDescent="0.35">
      <c r="A92" s="1"/>
      <c r="B92" s="117" t="s">
        <v>53</v>
      </c>
      <c r="C92" s="42" t="s">
        <v>42</v>
      </c>
      <c r="D92" s="42" t="s">
        <v>44</v>
      </c>
      <c r="E92" s="88" t="s">
        <v>45</v>
      </c>
      <c r="F92" s="118" t="s">
        <v>46</v>
      </c>
      <c r="G92" s="119" t="s">
        <v>47</v>
      </c>
      <c r="H92" s="118" t="s">
        <v>48</v>
      </c>
      <c r="I92" s="227"/>
      <c r="J92" s="227"/>
      <c r="K92" s="227"/>
      <c r="L92" s="227"/>
    </row>
    <row r="93" spans="1:12" x14ac:dyDescent="0.25">
      <c r="B93" s="89">
        <v>303</v>
      </c>
      <c r="C93" s="90">
        <v>150</v>
      </c>
      <c r="D93" s="90">
        <f>I6</f>
        <v>3.204761904761904</v>
      </c>
      <c r="E93" s="23">
        <f>G6</f>
        <v>85.904761904761926</v>
      </c>
      <c r="F93" s="90">
        <f>E93/D93</f>
        <v>26.805349182763756</v>
      </c>
      <c r="G93" s="223">
        <f>LOG10(D93)</f>
        <v>0.50579576949005745</v>
      </c>
      <c r="H93" s="226">
        <f>LOG10(E93)</f>
        <v>1.9340172384720038</v>
      </c>
      <c r="I93" s="228"/>
      <c r="J93" s="228"/>
      <c r="K93" s="228"/>
      <c r="L93" s="228"/>
    </row>
    <row r="94" spans="1:12" x14ac:dyDescent="0.25">
      <c r="B94" s="92">
        <v>313</v>
      </c>
      <c r="C94" s="29">
        <v>150</v>
      </c>
      <c r="D94" s="29">
        <f>I10</f>
        <v>3.6095238095238096</v>
      </c>
      <c r="E94" s="25">
        <f>G10</f>
        <v>77.80952380952381</v>
      </c>
      <c r="F94" s="29">
        <f t="shared" ref="F94:F112" si="3">E94/D94</f>
        <v>21.556728232189972</v>
      </c>
      <c r="G94" s="225">
        <f t="shared" ref="G94:H109" si="4">LOG10(D94)</f>
        <v>0.55744991089813423</v>
      </c>
      <c r="H94" s="226">
        <f t="shared" si="4"/>
        <v>1.8910327574624775</v>
      </c>
      <c r="I94" s="228"/>
      <c r="J94" s="228"/>
      <c r="K94" s="228"/>
      <c r="L94" s="228"/>
    </row>
    <row r="95" spans="1:12" x14ac:dyDescent="0.25">
      <c r="B95" s="92">
        <v>318</v>
      </c>
      <c r="C95" s="29">
        <v>150</v>
      </c>
      <c r="D95" s="29">
        <f>I14</f>
        <v>3.9666666666666668</v>
      </c>
      <c r="E95" s="25">
        <f>G14</f>
        <v>70.666666666666671</v>
      </c>
      <c r="F95" s="29">
        <f t="shared" si="3"/>
        <v>17.815126050420169</v>
      </c>
      <c r="G95" s="225">
        <f t="shared" si="4"/>
        <v>0.59842570667286832</v>
      </c>
      <c r="H95" s="226">
        <f t="shared" si="4"/>
        <v>1.8492146062090891</v>
      </c>
      <c r="I95" s="228"/>
      <c r="J95" s="228"/>
      <c r="K95" s="228"/>
      <c r="L95" s="228"/>
    </row>
    <row r="96" spans="1:12" x14ac:dyDescent="0.25">
      <c r="B96" s="92">
        <v>323</v>
      </c>
      <c r="C96" s="29">
        <v>150</v>
      </c>
      <c r="D96" s="29">
        <f>I18</f>
        <v>4.1809523809523812</v>
      </c>
      <c r="E96" s="25">
        <f>G18</f>
        <v>66.38095238095238</v>
      </c>
      <c r="F96" s="29">
        <f t="shared" si="3"/>
        <v>15.876993166287015</v>
      </c>
      <c r="G96" s="225">
        <f t="shared" si="4"/>
        <v>0.62127522117218337</v>
      </c>
      <c r="H96" s="226">
        <f t="shared" si="4"/>
        <v>1.8220434790280713</v>
      </c>
      <c r="I96" s="228"/>
      <c r="J96" s="228"/>
      <c r="K96" s="228"/>
      <c r="L96" s="228"/>
    </row>
    <row r="97" spans="2:12" x14ac:dyDescent="0.25">
      <c r="B97" s="94">
        <v>328</v>
      </c>
      <c r="C97" s="30">
        <v>150</v>
      </c>
      <c r="D97" s="30">
        <f>I22</f>
        <v>4.538095238095238</v>
      </c>
      <c r="E97" s="27">
        <f>G22</f>
        <v>59.238095238095248</v>
      </c>
      <c r="F97" s="30">
        <f t="shared" si="3"/>
        <v>13.053515215110181</v>
      </c>
      <c r="G97" s="221">
        <f t="shared" si="4"/>
        <v>0.65687360590440713</v>
      </c>
      <c r="H97" s="226">
        <f t="shared" si="4"/>
        <v>1.7726010856208807</v>
      </c>
      <c r="I97" s="228"/>
      <c r="J97" s="228"/>
      <c r="K97" s="228"/>
      <c r="L97" s="228"/>
    </row>
    <row r="98" spans="2:12" x14ac:dyDescent="0.25">
      <c r="B98" s="96">
        <v>303</v>
      </c>
      <c r="C98" s="34">
        <v>300</v>
      </c>
      <c r="D98" s="34">
        <f>R6</f>
        <v>4.6333333333333346</v>
      </c>
      <c r="E98" s="33">
        <f>P6</f>
        <v>207.33333333333331</v>
      </c>
      <c r="F98" s="37">
        <f t="shared" si="3"/>
        <v>44.748201438848902</v>
      </c>
      <c r="G98" s="33">
        <f t="shared" si="4"/>
        <v>0.66589354553443281</v>
      </c>
      <c r="H98" s="35">
        <f t="shared" si="4"/>
        <v>2.3166691299711561</v>
      </c>
      <c r="I98" s="228"/>
      <c r="J98" s="228"/>
      <c r="K98" s="228"/>
      <c r="L98" s="228"/>
    </row>
    <row r="99" spans="2:12" x14ac:dyDescent="0.25">
      <c r="B99" s="97">
        <v>313</v>
      </c>
      <c r="C99" s="37">
        <v>300</v>
      </c>
      <c r="D99" s="37">
        <f>R10</f>
        <v>5.3952380952380965</v>
      </c>
      <c r="E99" s="36">
        <f>P10</f>
        <v>192.09523809523807</v>
      </c>
      <c r="F99" s="37">
        <f t="shared" si="3"/>
        <v>35.6045895851721</v>
      </c>
      <c r="G99" s="36">
        <f t="shared" si="4"/>
        <v>0.73201061512947807</v>
      </c>
      <c r="H99" s="38">
        <f t="shared" si="4"/>
        <v>2.2835165991428275</v>
      </c>
      <c r="I99" s="228"/>
      <c r="J99" s="228"/>
      <c r="K99" s="228"/>
      <c r="L99" s="228"/>
    </row>
    <row r="100" spans="2:12" x14ac:dyDescent="0.25">
      <c r="B100" s="97">
        <v>318</v>
      </c>
      <c r="C100" s="37">
        <v>300</v>
      </c>
      <c r="D100" s="37">
        <f>R14</f>
        <v>5.7285714285714295</v>
      </c>
      <c r="E100" s="36">
        <f>P14</f>
        <v>185.42857142857142</v>
      </c>
      <c r="F100" s="37">
        <f t="shared" si="3"/>
        <v>32.369077306733161</v>
      </c>
      <c r="G100" s="36">
        <f t="shared" si="4"/>
        <v>0.75804633260592558</v>
      </c>
      <c r="H100" s="38">
        <f t="shared" si="4"/>
        <v>2.2681766524500935</v>
      </c>
      <c r="I100" s="228"/>
      <c r="J100" s="228"/>
      <c r="K100" s="228"/>
      <c r="L100" s="228"/>
    </row>
    <row r="101" spans="2:12" x14ac:dyDescent="0.25">
      <c r="B101" s="97">
        <v>323</v>
      </c>
      <c r="C101" s="37">
        <v>300</v>
      </c>
      <c r="D101" s="37">
        <f>R18</f>
        <v>6.371428571428571</v>
      </c>
      <c r="E101" s="36">
        <f>P18</f>
        <v>172.57142857142858</v>
      </c>
      <c r="F101" s="37">
        <f t="shared" si="3"/>
        <v>27.085201793721978</v>
      </c>
      <c r="G101" s="36">
        <f t="shared" si="4"/>
        <v>0.80423681869788499</v>
      </c>
      <c r="H101" s="38">
        <f t="shared" si="4"/>
        <v>2.2369688942708561</v>
      </c>
      <c r="I101" s="228"/>
      <c r="J101" s="228"/>
      <c r="K101" s="228"/>
      <c r="L101" s="228"/>
    </row>
    <row r="102" spans="2:12" x14ac:dyDescent="0.25">
      <c r="B102" s="98">
        <v>328</v>
      </c>
      <c r="C102" s="40">
        <v>300</v>
      </c>
      <c r="D102" s="40">
        <f>R22</f>
        <v>6.7285714285714295</v>
      </c>
      <c r="E102" s="39">
        <f>P22</f>
        <v>165.42857142857142</v>
      </c>
      <c r="F102" s="40">
        <f t="shared" si="3"/>
        <v>24.585987261146492</v>
      </c>
      <c r="G102" s="39">
        <f t="shared" si="4"/>
        <v>0.82792286711463936</v>
      </c>
      <c r="H102" s="41">
        <f t="shared" si="4"/>
        <v>2.2186105193771604</v>
      </c>
      <c r="I102" s="228"/>
      <c r="J102" s="228"/>
      <c r="K102" s="228"/>
      <c r="L102" s="228"/>
    </row>
    <row r="103" spans="2:12" x14ac:dyDescent="0.25">
      <c r="B103" s="99">
        <v>303</v>
      </c>
      <c r="C103" s="51">
        <v>400</v>
      </c>
      <c r="D103" s="51">
        <f>I27</f>
        <v>5.2523809523809524</v>
      </c>
      <c r="E103" s="16">
        <f>G27</f>
        <v>294.95238095238096</v>
      </c>
      <c r="F103" s="17">
        <f t="shared" si="3"/>
        <v>56.155938349954674</v>
      </c>
      <c r="G103" s="16">
        <f t="shared" si="4"/>
        <v>0.72035621770627134</v>
      </c>
      <c r="H103" s="17">
        <f t="shared" si="4"/>
        <v>2.4697519062868487</v>
      </c>
      <c r="I103" s="228"/>
      <c r="J103" s="228"/>
      <c r="K103" s="228"/>
      <c r="L103" s="228"/>
    </row>
    <row r="104" spans="2:12" x14ac:dyDescent="0.25">
      <c r="B104" s="101">
        <v>313</v>
      </c>
      <c r="C104" s="51">
        <v>400</v>
      </c>
      <c r="D104" s="51">
        <f>I31</f>
        <v>6.4904761904761905</v>
      </c>
      <c r="E104" s="16">
        <f>G31</f>
        <v>270.1904761904762</v>
      </c>
      <c r="F104" s="17">
        <f t="shared" si="3"/>
        <v>41.628760088041091</v>
      </c>
      <c r="G104" s="16">
        <f t="shared" si="4"/>
        <v>0.8122765611007543</v>
      </c>
      <c r="H104" s="17">
        <f t="shared" si="4"/>
        <v>2.4316700367259143</v>
      </c>
      <c r="I104" s="228"/>
      <c r="J104" s="228"/>
      <c r="K104" s="228"/>
      <c r="L104" s="228"/>
    </row>
    <row r="105" spans="2:12" x14ac:dyDescent="0.25">
      <c r="B105" s="101">
        <v>318</v>
      </c>
      <c r="C105" s="51">
        <v>400</v>
      </c>
      <c r="D105" s="51">
        <f>I35</f>
        <v>6.7761904761904761</v>
      </c>
      <c r="E105" s="16">
        <f>G35</f>
        <v>264.47619047619048</v>
      </c>
      <c r="F105" s="17">
        <f t="shared" si="3"/>
        <v>39.030217849613493</v>
      </c>
      <c r="G105" s="16">
        <f t="shared" si="4"/>
        <v>0.83098560535036503</v>
      </c>
      <c r="H105" s="17">
        <f t="shared" si="4"/>
        <v>2.4223865806803193</v>
      </c>
      <c r="I105" s="228"/>
      <c r="J105" s="228"/>
      <c r="K105" s="228"/>
      <c r="L105" s="228"/>
    </row>
    <row r="106" spans="2:12" x14ac:dyDescent="0.25">
      <c r="B106" s="101">
        <v>323</v>
      </c>
      <c r="C106" s="51">
        <v>400</v>
      </c>
      <c r="D106" s="51">
        <f>I39</f>
        <v>7.1333333333333346</v>
      </c>
      <c r="E106" s="16">
        <f>G39</f>
        <v>257.33333333333331</v>
      </c>
      <c r="F106" s="17">
        <f t="shared" si="3"/>
        <v>36.074766355140177</v>
      </c>
      <c r="G106" s="16">
        <f t="shared" si="4"/>
        <v>0.85329251862952848</v>
      </c>
      <c r="H106" s="17">
        <f t="shared" si="4"/>
        <v>2.4104960456160738</v>
      </c>
      <c r="I106" s="228"/>
      <c r="J106" s="228"/>
      <c r="K106" s="228"/>
      <c r="L106" s="228"/>
    </row>
    <row r="107" spans="2:12" x14ac:dyDescent="0.25">
      <c r="B107" s="103">
        <v>328</v>
      </c>
      <c r="C107" s="50">
        <v>400</v>
      </c>
      <c r="D107" s="50">
        <f>I43</f>
        <v>8.2761904761904788</v>
      </c>
      <c r="E107" s="18">
        <f>G43</f>
        <v>234.47619047619042</v>
      </c>
      <c r="F107" s="19">
        <f t="shared" si="3"/>
        <v>28.331415420022999</v>
      </c>
      <c r="G107" s="16">
        <f t="shared" si="4"/>
        <v>0.91783047737872858</v>
      </c>
      <c r="H107" s="17">
        <f t="shared" si="4"/>
        <v>2.3700987495253591</v>
      </c>
      <c r="I107" s="228"/>
      <c r="J107" s="228"/>
      <c r="K107" s="228"/>
      <c r="L107" s="228"/>
    </row>
    <row r="108" spans="2:12" x14ac:dyDescent="0.25">
      <c r="B108" s="105">
        <v>303</v>
      </c>
      <c r="C108" s="106">
        <v>500</v>
      </c>
      <c r="D108" s="106">
        <f>R27</f>
        <v>5.7999999999999972</v>
      </c>
      <c r="E108" s="107">
        <f>P27</f>
        <v>384.00000000000006</v>
      </c>
      <c r="F108" s="108">
        <f t="shared" si="3"/>
        <v>66.206896551724185</v>
      </c>
      <c r="G108" s="109">
        <f t="shared" si="4"/>
        <v>0.76342799356293711</v>
      </c>
      <c r="H108" s="110">
        <f t="shared" si="4"/>
        <v>2.5843312243675309</v>
      </c>
      <c r="I108" s="228"/>
      <c r="J108" s="228"/>
      <c r="K108" s="228"/>
      <c r="L108" s="228"/>
    </row>
    <row r="109" spans="2:12" x14ac:dyDescent="0.25">
      <c r="B109" s="112">
        <v>313</v>
      </c>
      <c r="C109" s="106">
        <v>500</v>
      </c>
      <c r="D109" s="106">
        <f>R31</f>
        <v>6.7761904761904734</v>
      </c>
      <c r="E109" s="107">
        <f>P31</f>
        <v>364.47619047619054</v>
      </c>
      <c r="F109" s="108">
        <f t="shared" si="3"/>
        <v>53.787772312016898</v>
      </c>
      <c r="G109" s="107">
        <f t="shared" si="4"/>
        <v>0.83098560535036492</v>
      </c>
      <c r="H109" s="108">
        <f t="shared" si="4"/>
        <v>2.5616691631545612</v>
      </c>
      <c r="I109" s="228"/>
      <c r="J109" s="228"/>
      <c r="K109" s="228"/>
      <c r="L109" s="228"/>
    </row>
    <row r="110" spans="2:12" x14ac:dyDescent="0.25">
      <c r="B110" s="112">
        <v>318</v>
      </c>
      <c r="C110" s="106">
        <v>500</v>
      </c>
      <c r="D110" s="106">
        <f>R35</f>
        <v>7.9190476190476211</v>
      </c>
      <c r="E110" s="107">
        <f>P35</f>
        <v>341.61904761904759</v>
      </c>
      <c r="F110" s="108">
        <f t="shared" si="3"/>
        <v>43.138905592303054</v>
      </c>
      <c r="G110" s="107">
        <f t="shared" ref="G110:H112" si="5">LOG10(D110)</f>
        <v>0.89867295448560014</v>
      </c>
      <c r="H110" s="108">
        <f t="shared" si="5"/>
        <v>2.5335420776060285</v>
      </c>
      <c r="I110" s="228"/>
      <c r="J110" s="228"/>
      <c r="K110" s="228"/>
      <c r="L110" s="228"/>
    </row>
    <row r="111" spans="2:12" x14ac:dyDescent="0.25">
      <c r="B111" s="112">
        <v>323</v>
      </c>
      <c r="C111" s="106">
        <v>500</v>
      </c>
      <c r="D111" s="106">
        <f>R39</f>
        <v>8.4904761904761923</v>
      </c>
      <c r="E111" s="107">
        <f>P39</f>
        <v>330.19047619047615</v>
      </c>
      <c r="F111" s="108">
        <f t="shared" si="3"/>
        <v>38.889512058328648</v>
      </c>
      <c r="G111" s="107">
        <f t="shared" si="5"/>
        <v>0.9289320484414354</v>
      </c>
      <c r="H111" s="108">
        <f t="shared" si="5"/>
        <v>2.5187645425864584</v>
      </c>
      <c r="I111" s="228"/>
      <c r="J111" s="228"/>
      <c r="K111" s="228"/>
      <c r="L111" s="228"/>
    </row>
    <row r="112" spans="2:12" x14ac:dyDescent="0.25">
      <c r="B112" s="113">
        <v>328</v>
      </c>
      <c r="C112" s="114">
        <v>500</v>
      </c>
      <c r="D112" s="114">
        <f>R43</f>
        <v>9.5142857142857142</v>
      </c>
      <c r="E112" s="115">
        <f>P43</f>
        <v>309.71428571428572</v>
      </c>
      <c r="F112" s="116">
        <f t="shared" si="3"/>
        <v>32.552552552552555</v>
      </c>
      <c r="G112" s="115">
        <f t="shared" si="5"/>
        <v>0.97837618915604418</v>
      </c>
      <c r="H112" s="116">
        <f t="shared" si="5"/>
        <v>2.4909612378520927</v>
      </c>
      <c r="I112" s="228"/>
      <c r="J112" s="228"/>
      <c r="K112" s="228"/>
      <c r="L112" s="228"/>
    </row>
    <row r="115" spans="2:26" x14ac:dyDescent="0.25">
      <c r="B115" s="123"/>
    </row>
    <row r="116" spans="2:26" x14ac:dyDescent="0.25">
      <c r="B116" s="262" t="s">
        <v>53</v>
      </c>
      <c r="C116" s="273" t="s">
        <v>56</v>
      </c>
      <c r="D116" s="279"/>
      <c r="E116" s="279"/>
      <c r="F116" s="279"/>
      <c r="G116" s="279"/>
      <c r="H116" s="274"/>
      <c r="I116" s="269" t="s">
        <v>57</v>
      </c>
      <c r="J116" s="280"/>
      <c r="K116" s="280"/>
      <c r="L116" s="280"/>
      <c r="M116" s="280"/>
      <c r="N116" s="270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</row>
    <row r="117" spans="2:26" ht="18.75" x14ac:dyDescent="0.35">
      <c r="B117" s="263"/>
      <c r="C117" s="78" t="s">
        <v>59</v>
      </c>
      <c r="D117" s="54" t="s">
        <v>60</v>
      </c>
      <c r="E117" s="120" t="s">
        <v>61</v>
      </c>
      <c r="F117" s="54" t="s">
        <v>54</v>
      </c>
      <c r="G117" s="120" t="s">
        <v>62</v>
      </c>
      <c r="H117" s="215"/>
      <c r="I117" s="234" t="s">
        <v>63</v>
      </c>
      <c r="J117" s="220" t="s">
        <v>64</v>
      </c>
      <c r="K117" s="122" t="s">
        <v>55</v>
      </c>
      <c r="L117" s="121" t="s">
        <v>65</v>
      </c>
      <c r="M117" s="121" t="s">
        <v>62</v>
      </c>
      <c r="N117" s="215"/>
      <c r="O117" s="227"/>
      <c r="P117" s="227"/>
      <c r="Q117" s="232"/>
      <c r="R117" s="232"/>
      <c r="S117" s="227"/>
      <c r="T117" s="227"/>
      <c r="U117" s="227"/>
      <c r="V117" s="227"/>
      <c r="W117" s="227"/>
      <c r="X117" s="227"/>
      <c r="Y117" s="227"/>
      <c r="Z117" s="227"/>
    </row>
    <row r="118" spans="2:26" x14ac:dyDescent="0.25">
      <c r="B118" s="128">
        <v>303</v>
      </c>
      <c r="C118" s="51">
        <v>0.1326</v>
      </c>
      <c r="D118" s="51">
        <v>16.245000000000001</v>
      </c>
      <c r="E118" s="49">
        <f>1/C118</f>
        <v>7.5414781297134237</v>
      </c>
      <c r="F118" s="51">
        <f>1/((E118*D118))</f>
        <v>8.1625115420129266E-3</v>
      </c>
      <c r="G118" s="49">
        <v>0.99619999999999997</v>
      </c>
      <c r="H118" s="216"/>
      <c r="I118" s="225">
        <v>0.3972</v>
      </c>
      <c r="J118" s="29">
        <v>-0.2601</v>
      </c>
      <c r="K118" s="29">
        <f>1/I118</f>
        <v>2.5176233635448138</v>
      </c>
      <c r="L118" s="29">
        <f>10^(J118)</f>
        <v>0.5494143519621415</v>
      </c>
      <c r="M118" s="29">
        <v>0.99870000000000003</v>
      </c>
      <c r="N118" s="218"/>
      <c r="O118" s="228"/>
      <c r="P118" s="228"/>
      <c r="Q118" s="228"/>
      <c r="R118" s="228"/>
      <c r="S118" s="228"/>
      <c r="T118" s="233"/>
      <c r="U118" s="228"/>
      <c r="V118" s="228"/>
      <c r="W118" s="228"/>
      <c r="X118" s="228"/>
      <c r="Y118" s="228"/>
      <c r="Z118" s="233"/>
    </row>
    <row r="119" spans="2:26" x14ac:dyDescent="0.25">
      <c r="B119" s="128">
        <v>313</v>
      </c>
      <c r="C119" s="51">
        <v>0.11</v>
      </c>
      <c r="D119" s="51">
        <v>13.278</v>
      </c>
      <c r="E119" s="49">
        <f>1/C119</f>
        <v>9.0909090909090917</v>
      </c>
      <c r="F119" s="51">
        <f t="shared" ref="F119:F122" si="6">1/((E119*D119))</f>
        <v>8.2843801777376103E-3</v>
      </c>
      <c r="G119" s="49">
        <v>0.99339999999999995</v>
      </c>
      <c r="H119" s="216"/>
      <c r="I119" s="225">
        <v>0.42630000000000001</v>
      </c>
      <c r="J119" s="29">
        <v>-0.24399999999999999</v>
      </c>
      <c r="K119" s="29">
        <f t="shared" ref="K119:K122" si="7">1/I119</f>
        <v>2.345765892563922</v>
      </c>
      <c r="L119" s="29">
        <f t="shared" ref="L119:L122" si="8">10^(J119)</f>
        <v>0.5701642722807474</v>
      </c>
      <c r="M119" s="29">
        <v>0.9849</v>
      </c>
      <c r="N119" s="218"/>
      <c r="O119" s="228"/>
      <c r="P119" s="228"/>
      <c r="Q119" s="228"/>
      <c r="R119" s="228"/>
      <c r="S119" s="228"/>
      <c r="T119" s="233"/>
      <c r="U119" s="228"/>
      <c r="V119" s="228"/>
      <c r="W119" s="228"/>
      <c r="X119" s="228"/>
      <c r="Y119" s="228"/>
      <c r="Z119" s="233"/>
    </row>
    <row r="120" spans="2:26" x14ac:dyDescent="0.25">
      <c r="B120" s="128">
        <v>318</v>
      </c>
      <c r="C120" s="51">
        <v>9.4399999999999998E-2</v>
      </c>
      <c r="D120" s="51">
        <v>12.747</v>
      </c>
      <c r="E120" s="49">
        <f>1/C120</f>
        <v>10.593220338983052</v>
      </c>
      <c r="F120" s="51">
        <f t="shared" si="6"/>
        <v>7.4056640778222315E-3</v>
      </c>
      <c r="G120" s="49">
        <v>0.96689999999999998</v>
      </c>
      <c r="H120" s="216"/>
      <c r="I120" s="225">
        <v>0.42799999999999999</v>
      </c>
      <c r="J120" s="29">
        <v>-0.19919999999999999</v>
      </c>
      <c r="K120" s="29">
        <f t="shared" si="7"/>
        <v>2.3364485981308412</v>
      </c>
      <c r="L120" s="29">
        <f t="shared" si="8"/>
        <v>0.63212068200526816</v>
      </c>
      <c r="M120" s="29">
        <v>0.99099999999999999</v>
      </c>
      <c r="N120" s="218"/>
      <c r="O120" s="228"/>
      <c r="P120" s="228"/>
      <c r="Q120" s="228"/>
      <c r="R120" s="228"/>
      <c r="S120" s="228"/>
      <c r="T120" s="233"/>
      <c r="U120" s="228"/>
      <c r="V120" s="228"/>
      <c r="W120" s="228"/>
      <c r="X120" s="228"/>
      <c r="Y120" s="228"/>
      <c r="Z120" s="233"/>
    </row>
    <row r="121" spans="2:26" x14ac:dyDescent="0.25">
      <c r="B121" s="128">
        <v>323</v>
      </c>
      <c r="C121" s="51">
        <v>9.0200000000000002E-2</v>
      </c>
      <c r="D121" s="51">
        <v>10.852</v>
      </c>
      <c r="E121" s="49">
        <f>1/C121</f>
        <v>11.086474501108647</v>
      </c>
      <c r="F121" s="51">
        <f t="shared" si="6"/>
        <v>8.3118319203833394E-3</v>
      </c>
      <c r="G121" s="49">
        <v>0.9738</v>
      </c>
      <c r="H121" s="216"/>
      <c r="I121" s="225">
        <v>0.4254</v>
      </c>
      <c r="J121" s="29">
        <v>-0.154</v>
      </c>
      <c r="K121" s="29">
        <f t="shared" si="7"/>
        <v>2.3507287259050305</v>
      </c>
      <c r="L121" s="29">
        <f t="shared" si="8"/>
        <v>0.70145529841997123</v>
      </c>
      <c r="M121" s="29">
        <v>0.99019999999999997</v>
      </c>
      <c r="N121" s="218"/>
      <c r="O121" s="228"/>
      <c r="P121" s="228"/>
      <c r="Q121" s="228"/>
      <c r="R121" s="228"/>
      <c r="S121" s="228"/>
      <c r="T121" s="233"/>
      <c r="U121" s="228"/>
      <c r="V121" s="228"/>
      <c r="W121" s="228"/>
      <c r="X121" s="228"/>
      <c r="Y121" s="228"/>
      <c r="Z121" s="233"/>
    </row>
    <row r="122" spans="2:26" x14ac:dyDescent="0.25">
      <c r="B122" s="129">
        <v>328</v>
      </c>
      <c r="C122" s="18">
        <v>7.7299999999999994E-2</v>
      </c>
      <c r="D122" s="50">
        <v>9.7711000000000006</v>
      </c>
      <c r="E122" s="50">
        <f>1/C122</f>
        <v>12.9366106080207</v>
      </c>
      <c r="F122" s="50">
        <f t="shared" si="6"/>
        <v>7.9110847294572764E-3</v>
      </c>
      <c r="G122" s="50">
        <v>0.96519999999999995</v>
      </c>
      <c r="H122" s="217"/>
      <c r="I122" s="221">
        <v>0.44359999999999999</v>
      </c>
      <c r="J122" s="30">
        <v>-0.13639999999999999</v>
      </c>
      <c r="K122" s="30">
        <f t="shared" si="7"/>
        <v>2.254283137962128</v>
      </c>
      <c r="L122" s="30">
        <f t="shared" si="8"/>
        <v>0.7304659895204112</v>
      </c>
      <c r="M122" s="30">
        <v>0.99070000000000003</v>
      </c>
      <c r="N122" s="219"/>
      <c r="O122" s="228"/>
      <c r="P122" s="228"/>
      <c r="Q122" s="228"/>
      <c r="R122" s="228"/>
      <c r="S122" s="228"/>
      <c r="T122" s="233"/>
      <c r="U122" s="228"/>
      <c r="V122" s="228"/>
      <c r="W122" s="228"/>
      <c r="X122" s="228"/>
      <c r="Y122" s="228"/>
      <c r="Z122" s="233"/>
    </row>
    <row r="123" spans="2:26" x14ac:dyDescent="0.25">
      <c r="D123" s="1"/>
      <c r="E123" s="1"/>
      <c r="F123" s="1"/>
      <c r="G123" s="1"/>
    </row>
    <row r="126" spans="2:26" x14ac:dyDescent="0.25">
      <c r="B126" s="266" t="s">
        <v>101</v>
      </c>
      <c r="C126" s="267"/>
      <c r="D126" s="267"/>
      <c r="E126" s="267"/>
      <c r="F126" s="267"/>
      <c r="G126" s="267"/>
      <c r="H126" s="267"/>
      <c r="I126" s="267"/>
      <c r="J126" s="267"/>
      <c r="K126" s="268"/>
    </row>
    <row r="127" spans="2:26" x14ac:dyDescent="0.25">
      <c r="B127" s="277" t="s">
        <v>102</v>
      </c>
      <c r="C127" s="278"/>
      <c r="D127" s="269" t="s">
        <v>29</v>
      </c>
      <c r="E127" s="270"/>
      <c r="F127" s="271" t="s">
        <v>37</v>
      </c>
      <c r="G127" s="272"/>
      <c r="H127" s="273" t="s">
        <v>66</v>
      </c>
      <c r="I127" s="274"/>
      <c r="J127" s="275" t="s">
        <v>39</v>
      </c>
      <c r="K127" s="276"/>
    </row>
    <row r="128" spans="2:26" ht="18" x14ac:dyDescent="0.35">
      <c r="B128" s="9" t="s">
        <v>53</v>
      </c>
      <c r="C128" s="70" t="s">
        <v>58</v>
      </c>
      <c r="D128" s="20" t="s">
        <v>67</v>
      </c>
      <c r="E128" s="58" t="s">
        <v>68</v>
      </c>
      <c r="F128" s="31" t="s">
        <v>67</v>
      </c>
      <c r="G128" s="73" t="s">
        <v>68</v>
      </c>
      <c r="H128" s="78" t="s">
        <v>67</v>
      </c>
      <c r="I128" s="55" t="s">
        <v>68</v>
      </c>
      <c r="J128" s="126" t="s">
        <v>67</v>
      </c>
      <c r="K128" s="127" t="s">
        <v>68</v>
      </c>
    </row>
    <row r="129" spans="1:12" x14ac:dyDescent="0.25">
      <c r="B129" s="130">
        <v>303</v>
      </c>
      <c r="C129" s="46">
        <f>1/B129</f>
        <v>3.3003300330033004E-3</v>
      </c>
      <c r="D129" s="25">
        <f>D93/E93</f>
        <v>3.7305986696230579E-2</v>
      </c>
      <c r="E129" s="76">
        <f>LN(D129)</f>
        <v>-3.2886014639718875</v>
      </c>
      <c r="F129" s="36">
        <f>D98/E98</f>
        <v>2.2347266881028949E-2</v>
      </c>
      <c r="G129" s="63">
        <f>LN(F129)</f>
        <v>-3.8010512526025328</v>
      </c>
      <c r="H129" s="16">
        <f>D103/E103</f>
        <v>1.7807555699063608E-2</v>
      </c>
      <c r="I129" s="74">
        <f>LN(H129:H133)</f>
        <v>-4.0281324342736911</v>
      </c>
      <c r="J129" s="111">
        <f>D108/E108</f>
        <v>1.5104166666666656E-2</v>
      </c>
      <c r="K129" s="124">
        <f>LN(J129)</f>
        <v>-4.1927846350353537</v>
      </c>
    </row>
    <row r="130" spans="1:12" x14ac:dyDescent="0.25">
      <c r="B130" s="130">
        <v>313</v>
      </c>
      <c r="C130" s="46">
        <f t="shared" ref="C130:C133" si="9">1/B130</f>
        <v>3.1948881789137379E-3</v>
      </c>
      <c r="D130" s="25">
        <f>D94/E94</f>
        <v>4.6389228886168914E-2</v>
      </c>
      <c r="E130" s="76">
        <f t="shared" ref="E130:E133" si="10">LN(D130)</f>
        <v>-3.0706879827716222</v>
      </c>
      <c r="F130" s="36">
        <f>D99/E99</f>
        <v>2.8086266732771453E-2</v>
      </c>
      <c r="G130" s="63">
        <f t="shared" ref="G130:G133" si="11">LN(F130)</f>
        <v>-3.5724745504801962</v>
      </c>
      <c r="H130" s="16">
        <f>D104/E104</f>
        <v>2.4021854071201974E-2</v>
      </c>
      <c r="I130" s="74">
        <f>LN(H130:H133)</f>
        <v>-3.7287912766663096</v>
      </c>
      <c r="J130" s="111">
        <f>D109/E109</f>
        <v>1.8591586098771873E-2</v>
      </c>
      <c r="K130" s="124">
        <f t="shared" ref="K130:K133" si="12">LN(J130)</f>
        <v>-3.9850461608898415</v>
      </c>
    </row>
    <row r="131" spans="1:12" x14ac:dyDescent="0.25">
      <c r="B131" s="130">
        <v>318</v>
      </c>
      <c r="C131" s="46">
        <f t="shared" si="9"/>
        <v>3.1446540880503146E-3</v>
      </c>
      <c r="D131" s="25">
        <f>D95/E95</f>
        <v>5.6132075471698108E-2</v>
      </c>
      <c r="E131" s="76">
        <f t="shared" si="10"/>
        <v>-2.880047874554529</v>
      </c>
      <c r="F131" s="36">
        <f>D100/E100</f>
        <v>3.089368258859785E-2</v>
      </c>
      <c r="G131" s="63">
        <f t="shared" si="11"/>
        <v>-3.4772035629515115</v>
      </c>
      <c r="H131" s="16">
        <f>D105/E105</f>
        <v>2.5621173928700034E-2</v>
      </c>
      <c r="I131" s="74">
        <f>LN(H131:H134)</f>
        <v>-3.6643361627709381</v>
      </c>
      <c r="J131" s="111">
        <f>D110/E110</f>
        <v>2.3180931140228612E-2</v>
      </c>
      <c r="K131" s="124">
        <f t="shared" si="12"/>
        <v>-3.7644252718933453</v>
      </c>
    </row>
    <row r="132" spans="1:12" x14ac:dyDescent="0.25">
      <c r="B132" s="130">
        <v>323</v>
      </c>
      <c r="C132" s="46">
        <f t="shared" si="9"/>
        <v>3.0959752321981426E-3</v>
      </c>
      <c r="D132" s="25">
        <f>D96/E96</f>
        <v>6.2984218077474896E-2</v>
      </c>
      <c r="E132" s="76">
        <f t="shared" si="10"/>
        <v>-2.7648710906793981</v>
      </c>
      <c r="F132" s="36">
        <f>D101/E101</f>
        <v>3.69205298013245E-2</v>
      </c>
      <c r="G132" s="63">
        <f t="shared" si="11"/>
        <v>-3.2989875194687421</v>
      </c>
      <c r="H132" s="16">
        <f>D106/E106</f>
        <v>2.7720207253886017E-2</v>
      </c>
      <c r="I132" s="74">
        <f>LN(H132:H135)</f>
        <v>-3.5855936279969702</v>
      </c>
      <c r="J132" s="111">
        <f>D111/E111</f>
        <v>2.5713873665993665E-2</v>
      </c>
      <c r="K132" s="124">
        <f t="shared" si="12"/>
        <v>-3.6607246013758736</v>
      </c>
    </row>
    <row r="133" spans="1:12" x14ac:dyDescent="0.25">
      <c r="B133" s="131">
        <v>328</v>
      </c>
      <c r="C133" s="47">
        <f t="shared" si="9"/>
        <v>3.0487804878048782E-3</v>
      </c>
      <c r="D133" s="27">
        <f>D97/E97</f>
        <v>7.6607717041800624E-2</v>
      </c>
      <c r="E133" s="77">
        <f t="shared" si="10"/>
        <v>-2.5690574626389684</v>
      </c>
      <c r="F133" s="39">
        <f>D102/E102</f>
        <v>4.0673575129533686E-2</v>
      </c>
      <c r="G133" s="65">
        <f t="shared" si="11"/>
        <v>-3.2021766571105683</v>
      </c>
      <c r="H133" s="18">
        <f>D107/E107</f>
        <v>3.5296506904955338E-2</v>
      </c>
      <c r="I133" s="75">
        <f>LN(H133:H136)</f>
        <v>-3.3439712744730521</v>
      </c>
      <c r="J133" s="114">
        <f>D112/E112</f>
        <v>3.0719557195571956E-2</v>
      </c>
      <c r="K133" s="125">
        <f t="shared" si="12"/>
        <v>-3.4828557850131934</v>
      </c>
    </row>
    <row r="140" spans="1:12" x14ac:dyDescent="0.25">
      <c r="B140" s="281" t="s">
        <v>116</v>
      </c>
      <c r="C140" s="282"/>
      <c r="D140" s="282"/>
      <c r="E140" s="282"/>
      <c r="F140" s="282"/>
      <c r="G140" s="282"/>
      <c r="H140" s="282"/>
      <c r="I140" s="282"/>
      <c r="J140" s="282"/>
      <c r="K140" s="282"/>
      <c r="L140" s="283"/>
    </row>
    <row r="141" spans="1:12" x14ac:dyDescent="0.25">
      <c r="A141" s="148"/>
      <c r="B141" s="264" t="s">
        <v>69</v>
      </c>
      <c r="C141" s="265"/>
      <c r="D141" s="84" t="s">
        <v>73</v>
      </c>
      <c r="E141" s="84" t="s">
        <v>71</v>
      </c>
      <c r="F141" s="149" t="s">
        <v>70</v>
      </c>
      <c r="G141" s="156" t="s">
        <v>72</v>
      </c>
      <c r="H141" s="284" t="s">
        <v>74</v>
      </c>
      <c r="I141" s="285"/>
      <c r="J141" s="285"/>
      <c r="K141" s="285"/>
      <c r="L141" s="286"/>
    </row>
    <row r="142" spans="1:12" x14ac:dyDescent="0.25">
      <c r="B142" s="297"/>
      <c r="C142" s="298"/>
      <c r="D142" s="161"/>
      <c r="E142" s="161"/>
      <c r="F142" s="141"/>
      <c r="G142" s="157"/>
      <c r="H142" s="158">
        <v>303</v>
      </c>
      <c r="I142" s="158">
        <v>313</v>
      </c>
      <c r="J142" s="158">
        <v>318</v>
      </c>
      <c r="K142" s="158">
        <v>323</v>
      </c>
      <c r="L142" s="159">
        <v>328</v>
      </c>
    </row>
    <row r="143" spans="1:12" x14ac:dyDescent="0.25">
      <c r="B143" s="299">
        <v>150</v>
      </c>
      <c r="C143" s="300"/>
      <c r="D143" s="91">
        <v>-2834.4</v>
      </c>
      <c r="E143" s="24">
        <v>6.0331999999999999</v>
      </c>
      <c r="F143" s="150">
        <f>-(0.008314*D143)</f>
        <v>23.565201600000002</v>
      </c>
      <c r="G143" s="100">
        <f>E143*0.008314</f>
        <v>5.0160024800000001E-2</v>
      </c>
      <c r="H143" s="153">
        <f>F143-(H142*G143)</f>
        <v>8.3667140856000017</v>
      </c>
      <c r="I143" s="153">
        <f>F143-(I142*G143)</f>
        <v>7.8651138376000009</v>
      </c>
      <c r="J143" s="153">
        <f>F143-(J142*G143)</f>
        <v>7.6143137136000014</v>
      </c>
      <c r="K143" s="153">
        <f>F143-(K142*G143)</f>
        <v>7.3635135896000001</v>
      </c>
      <c r="L143" s="160">
        <f>F143-(L142*G143)</f>
        <v>7.1127134656000024</v>
      </c>
    </row>
    <row r="144" spans="1:12" x14ac:dyDescent="0.25">
      <c r="B144" s="301">
        <v>300</v>
      </c>
      <c r="C144" s="302"/>
      <c r="D144" s="93">
        <v>-2413.4</v>
      </c>
      <c r="E144" s="26">
        <v>4.1485000000000003</v>
      </c>
      <c r="F144" s="151">
        <f>-(0.008314*D144)</f>
        <v>20.065007600000001</v>
      </c>
      <c r="G144" s="102">
        <f>E144*0.008314</f>
        <v>3.4490629000000002E-2</v>
      </c>
      <c r="H144" s="154">
        <f>F144-(H142*G144)</f>
        <v>9.6143470130000015</v>
      </c>
      <c r="I144" s="154">
        <f>F144-(I142*G144)</f>
        <v>9.2694407230000007</v>
      </c>
      <c r="J144" s="154">
        <f>F144-(J142*G144)</f>
        <v>9.0969875780000002</v>
      </c>
      <c r="K144" s="154">
        <f>F144-(K142*G144)</f>
        <v>8.9245344329999998</v>
      </c>
      <c r="L144" s="143">
        <f>F144-(L142*G144)</f>
        <v>8.7520812880000012</v>
      </c>
    </row>
    <row r="145" spans="2:12" x14ac:dyDescent="0.25">
      <c r="B145" s="301">
        <v>400</v>
      </c>
      <c r="C145" s="302"/>
      <c r="D145" s="93">
        <v>-2864</v>
      </c>
      <c r="E145" s="26">
        <v>5.3524000000000003</v>
      </c>
      <c r="F145" s="151">
        <f>-(0.008314*D145)</f>
        <v>23.811296000000002</v>
      </c>
      <c r="G145" s="102">
        <f>E145*0.008314</f>
        <v>4.44998536E-2</v>
      </c>
      <c r="H145" s="154">
        <f>F145-(H142*G145)</f>
        <v>10.327840359200001</v>
      </c>
      <c r="I145" s="154">
        <f>F145-(I142*G145)</f>
        <v>9.8828418232000015</v>
      </c>
      <c r="J145" s="154">
        <f>F145-(J142*G145)</f>
        <v>9.6603425552000015</v>
      </c>
      <c r="K145" s="154">
        <f>F145-(K142*G145)</f>
        <v>9.4378432872000015</v>
      </c>
      <c r="L145" s="143">
        <f>F145-(L142*G145)</f>
        <v>9.2153440192000016</v>
      </c>
    </row>
    <row r="146" spans="2:12" x14ac:dyDescent="0.25">
      <c r="B146" s="295">
        <v>500</v>
      </c>
      <c r="C146" s="296"/>
      <c r="D146" s="95">
        <v>-2836.9</v>
      </c>
      <c r="E146" s="28">
        <v>5.1387999999999998</v>
      </c>
      <c r="F146" s="152">
        <f>-(0.008314*D146)</f>
        <v>23.585986600000002</v>
      </c>
      <c r="G146" s="104">
        <f>E146*0.008314</f>
        <v>4.2723983200000003E-2</v>
      </c>
      <c r="H146" s="155">
        <f>F146-(H142*G146)</f>
        <v>10.640619690400001</v>
      </c>
      <c r="I146" s="155">
        <f>F146-(I142*G146)</f>
        <v>10.213379858400002</v>
      </c>
      <c r="J146" s="155">
        <f>F146-(J142*G146)</f>
        <v>9.9997599424000008</v>
      </c>
      <c r="K146" s="155">
        <f>F146-(K142*G146)</f>
        <v>9.7861400264</v>
      </c>
      <c r="L146" s="144">
        <f>F146-(L142*G146)</f>
        <v>9.5725201104000011</v>
      </c>
    </row>
    <row r="150" spans="2:12" x14ac:dyDescent="0.25">
      <c r="D150" t="s">
        <v>117</v>
      </c>
      <c r="H150" s="1"/>
      <c r="I150" s="1"/>
      <c r="J150" s="1"/>
    </row>
    <row r="153" spans="2:12" x14ac:dyDescent="0.25">
      <c r="C153" s="239"/>
      <c r="D153" s="235" t="s">
        <v>29</v>
      </c>
      <c r="E153" s="236" t="s">
        <v>37</v>
      </c>
      <c r="F153" s="237" t="s">
        <v>38</v>
      </c>
      <c r="G153" s="238" t="s">
        <v>39</v>
      </c>
    </row>
    <row r="154" spans="2:12" ht="18" x14ac:dyDescent="0.35">
      <c r="C154" s="240" t="s">
        <v>114</v>
      </c>
      <c r="D154" s="155" t="s">
        <v>115</v>
      </c>
      <c r="E154" s="152" t="s">
        <v>115</v>
      </c>
      <c r="F154" s="104" t="s">
        <v>115</v>
      </c>
      <c r="G154" s="222" t="s">
        <v>115</v>
      </c>
    </row>
    <row r="155" spans="2:12" x14ac:dyDescent="0.25">
      <c r="C155" s="241">
        <v>303</v>
      </c>
      <c r="D155" s="154">
        <f>(1/(1+(F118*150)))</f>
        <v>0.44956413449564137</v>
      </c>
      <c r="E155" s="151">
        <f>(1/(1+(F118*300)))</f>
        <v>0.28995983935742975</v>
      </c>
      <c r="F155" s="102">
        <f>(1/(1+(F118*400)))</f>
        <v>0.2344663347044815</v>
      </c>
      <c r="G155" s="226">
        <f>(1/(1+(F118*500)))</f>
        <v>0.19680174450299837</v>
      </c>
    </row>
    <row r="156" spans="2:12" x14ac:dyDescent="0.25">
      <c r="C156" s="241">
        <v>313</v>
      </c>
      <c r="D156" s="154">
        <f>(1/(1+(F119*150)))</f>
        <v>0.44589965746524279</v>
      </c>
      <c r="E156" s="151">
        <f>(1/(1+(F119*300)))</f>
        <v>0.28691819006871516</v>
      </c>
      <c r="F156" s="102">
        <f>(1/(1+(F119*400)))</f>
        <v>0.23181675337826047</v>
      </c>
      <c r="G156" s="226">
        <f>(1/(1+(F119*500)))</f>
        <v>0.19446966812150329</v>
      </c>
    </row>
    <row r="157" spans="2:12" x14ac:dyDescent="0.25">
      <c r="C157" s="241">
        <v>318</v>
      </c>
      <c r="D157" s="154">
        <f>(1/(1+(F120*150)))</f>
        <v>0.47374289218419002</v>
      </c>
      <c r="E157" s="151">
        <f>(1/(1+(F120*300)))</f>
        <v>0.3103952078311053</v>
      </c>
      <c r="F157" s="102">
        <f>(1/(1+(F120*400)))</f>
        <v>0.25238085809887739</v>
      </c>
      <c r="G157" s="226">
        <f>(1/(1+(F120*500)))</f>
        <v>0.21263783008324025</v>
      </c>
    </row>
    <row r="158" spans="2:12" x14ac:dyDescent="0.25">
      <c r="C158" s="241">
        <v>323</v>
      </c>
      <c r="D158" s="154">
        <f>(1/(1+(F121*150)))</f>
        <v>0.44508243786399804</v>
      </c>
      <c r="E158" s="151">
        <f>(1/(1+(F121*300)))</f>
        <v>0.28624182316944502</v>
      </c>
      <c r="F158" s="102">
        <f>(1/(1+(F121*400)))</f>
        <v>0.231228159890906</v>
      </c>
      <c r="G158" s="226">
        <f>(1/(1+(F121*500)))</f>
        <v>0.19395195882184729</v>
      </c>
    </row>
    <row r="159" spans="2:12" x14ac:dyDescent="0.25">
      <c r="C159" s="242">
        <v>328</v>
      </c>
      <c r="D159" s="155">
        <f>(1/(1+(F122*150)))</f>
        <v>0.45731790078676032</v>
      </c>
      <c r="E159" s="152">
        <f>(1/(1+(F122*300)))</f>
        <v>0.29644338326087416</v>
      </c>
      <c r="F159" s="104">
        <f>(1/(1+(F122*400)))</f>
        <v>0.24012867678681582</v>
      </c>
      <c r="G159" s="222">
        <f>(1/(1+(F122*500)))</f>
        <v>0.20179425911431176</v>
      </c>
    </row>
  </sheetData>
  <mergeCells count="30">
    <mergeCell ref="B90:H90"/>
    <mergeCell ref="B63:H63"/>
    <mergeCell ref="B146:C146"/>
    <mergeCell ref="B142:C142"/>
    <mergeCell ref="B143:C143"/>
    <mergeCell ref="B144:C144"/>
    <mergeCell ref="B145:C145"/>
    <mergeCell ref="B91:D91"/>
    <mergeCell ref="E91:F91"/>
    <mergeCell ref="G91:H91"/>
    <mergeCell ref="D50:G50"/>
    <mergeCell ref="E64:F64"/>
    <mergeCell ref="G64:H64"/>
    <mergeCell ref="J64:L64"/>
    <mergeCell ref="B64:D64"/>
    <mergeCell ref="O116:T116"/>
    <mergeCell ref="U116:Z116"/>
    <mergeCell ref="B116:B117"/>
    <mergeCell ref="J91:L91"/>
    <mergeCell ref="B141:C141"/>
    <mergeCell ref="B126:K126"/>
    <mergeCell ref="D127:E127"/>
    <mergeCell ref="F127:G127"/>
    <mergeCell ref="H127:I127"/>
    <mergeCell ref="J127:K127"/>
    <mergeCell ref="B127:C127"/>
    <mergeCell ref="C116:H116"/>
    <mergeCell ref="I116:N116"/>
    <mergeCell ref="B140:L140"/>
    <mergeCell ref="H141:L141"/>
  </mergeCells>
  <pageMargins left="0.7" right="0.7" top="0.75" bottom="0.75" header="0.3" footer="0.3"/>
  <pageSetup paperSize="9" orientation="portrait" r:id="rId1"/>
  <ignoredErrors>
    <ignoredError sqref="F129:F133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27"/>
  <sheetViews>
    <sheetView workbookViewId="0">
      <selection activeCell="N8" sqref="N8"/>
    </sheetView>
  </sheetViews>
  <sheetFormatPr defaultRowHeight="15" x14ac:dyDescent="0.25"/>
  <cols>
    <col min="2" max="2" width="11.28515625" customWidth="1"/>
    <col min="3" max="3" width="10.7109375" customWidth="1"/>
    <col min="4" max="4" width="11.140625" customWidth="1"/>
    <col min="5" max="5" width="10.5703125" customWidth="1"/>
    <col min="6" max="6" width="10.7109375" customWidth="1"/>
    <col min="7" max="7" width="11.42578125" customWidth="1"/>
    <col min="8" max="9" width="12" customWidth="1"/>
    <col min="11" max="11" width="11.7109375" customWidth="1"/>
    <col min="12" max="12" width="10.28515625" customWidth="1"/>
  </cols>
  <sheetData>
    <row r="4" spans="2:13" ht="18" x14ac:dyDescent="0.35">
      <c r="B4" s="67" t="s">
        <v>29</v>
      </c>
      <c r="C4" s="85" t="s">
        <v>40</v>
      </c>
      <c r="D4" s="85" t="s">
        <v>30</v>
      </c>
      <c r="E4" s="85" t="s">
        <v>32</v>
      </c>
      <c r="F4" s="85" t="s">
        <v>31</v>
      </c>
      <c r="G4" s="85" t="s">
        <v>36</v>
      </c>
      <c r="H4" s="85" t="s">
        <v>34</v>
      </c>
      <c r="I4" s="86" t="s">
        <v>26</v>
      </c>
      <c r="K4" s="82" t="s">
        <v>40</v>
      </c>
      <c r="L4" s="83" t="s">
        <v>34</v>
      </c>
    </row>
    <row r="5" spans="2:13" x14ac:dyDescent="0.25">
      <c r="B5" s="142" t="s">
        <v>35</v>
      </c>
      <c r="C5" s="48">
        <v>0.1</v>
      </c>
      <c r="D5" s="48">
        <v>8.3000000000000004E-2</v>
      </c>
      <c r="E5" s="48">
        <f>AVERAGE(D5:D7)</f>
        <v>8.1666666666666665E-2</v>
      </c>
      <c r="F5" s="48">
        <f>_xlfn.STDEV.S(D5:D7)</f>
        <v>1.1547005383792527E-3</v>
      </c>
      <c r="G5" s="48">
        <f>(E5-0.0062)/0.0007</f>
        <v>107.80952380952381</v>
      </c>
      <c r="H5" s="48">
        <f>((150-G5)/150)*100</f>
        <v>28.126984126984127</v>
      </c>
      <c r="I5" s="10">
        <f>((150-G5)/1)*0.05</f>
        <v>2.1095238095238096</v>
      </c>
      <c r="K5" s="16">
        <v>0.1</v>
      </c>
      <c r="L5" s="17">
        <f>H5</f>
        <v>28.126984126984127</v>
      </c>
    </row>
    <row r="6" spans="2:13" ht="18" x14ac:dyDescent="0.35">
      <c r="B6" s="142" t="s">
        <v>41</v>
      </c>
      <c r="C6" s="48"/>
      <c r="D6" s="48">
        <v>8.1000000000000003E-2</v>
      </c>
      <c r="E6" s="48"/>
      <c r="F6" s="48"/>
      <c r="G6" s="48"/>
      <c r="H6" s="48"/>
      <c r="I6" s="10"/>
      <c r="K6" s="16">
        <v>0.2</v>
      </c>
      <c r="L6" s="17">
        <f>H9</f>
        <v>29.714285714285715</v>
      </c>
    </row>
    <row r="7" spans="2:13" x14ac:dyDescent="0.25">
      <c r="B7" s="142"/>
      <c r="C7" s="47"/>
      <c r="D7" s="47">
        <v>8.1000000000000003E-2</v>
      </c>
      <c r="E7" s="47"/>
      <c r="F7" s="47"/>
      <c r="G7" s="47"/>
      <c r="H7" s="47"/>
      <c r="I7" s="11"/>
      <c r="K7" s="16">
        <v>0.4</v>
      </c>
      <c r="L7" s="17">
        <f>H13</f>
        <v>36.063492063492077</v>
      </c>
    </row>
    <row r="8" spans="2:13" x14ac:dyDescent="0.25">
      <c r="B8" s="68"/>
      <c r="C8" s="48"/>
      <c r="D8" s="48"/>
      <c r="E8" s="48"/>
      <c r="F8" s="48"/>
      <c r="G8" s="48"/>
      <c r="H8" s="48"/>
      <c r="I8" s="10"/>
      <c r="K8" s="16">
        <v>0.6</v>
      </c>
      <c r="L8" s="17">
        <f>H17</f>
        <v>40.19047619047619</v>
      </c>
    </row>
    <row r="9" spans="2:13" x14ac:dyDescent="0.25">
      <c r="B9" s="68"/>
      <c r="C9" s="48">
        <v>0.2</v>
      </c>
      <c r="D9" s="48">
        <v>0.08</v>
      </c>
      <c r="E9" s="48">
        <f>AVERAGE(D9:D11)</f>
        <v>0.08</v>
      </c>
      <c r="F9" s="48">
        <f>_xlfn.STDEV.S(D9:D11)</f>
        <v>0</v>
      </c>
      <c r="G9" s="48">
        <f>(E9-0.0062)/0.0007</f>
        <v>105.42857142857143</v>
      </c>
      <c r="H9" s="48">
        <f>((150-G9)/150)*100</f>
        <v>29.714285714285715</v>
      </c>
      <c r="I9" s="10">
        <f>((150-G9)/1)*0.05</f>
        <v>2.2285714285714286</v>
      </c>
      <c r="K9" s="16">
        <v>0.8</v>
      </c>
      <c r="L9" s="17">
        <f>H21</f>
        <v>45.269841269841265</v>
      </c>
    </row>
    <row r="10" spans="2:13" x14ac:dyDescent="0.25">
      <c r="B10" s="68"/>
      <c r="C10" s="48"/>
      <c r="D10" s="48">
        <v>0.08</v>
      </c>
      <c r="E10" s="48"/>
      <c r="F10" s="48"/>
      <c r="G10" s="48"/>
      <c r="H10" s="48"/>
      <c r="I10" s="10"/>
      <c r="K10" s="18">
        <v>1</v>
      </c>
      <c r="L10" s="19">
        <f>H25</f>
        <v>50.349206349206355</v>
      </c>
    </row>
    <row r="11" spans="2:13" x14ac:dyDescent="0.25">
      <c r="B11" s="68"/>
      <c r="C11" s="47"/>
      <c r="D11" s="47">
        <v>0.08</v>
      </c>
      <c r="E11" s="47"/>
      <c r="F11" s="47"/>
      <c r="G11" s="47"/>
      <c r="H11" s="47"/>
      <c r="I11" s="11"/>
    </row>
    <row r="12" spans="2:13" x14ac:dyDescent="0.25">
      <c r="B12" s="68"/>
      <c r="C12" s="48"/>
      <c r="D12" s="48"/>
      <c r="E12" s="48"/>
      <c r="F12" s="48"/>
      <c r="G12" s="48"/>
      <c r="H12" s="48"/>
      <c r="I12" s="10"/>
    </row>
    <row r="13" spans="2:13" x14ac:dyDescent="0.25">
      <c r="B13" s="68"/>
      <c r="C13" s="48">
        <v>0.4</v>
      </c>
      <c r="D13" s="48">
        <v>7.2999999999999995E-2</v>
      </c>
      <c r="E13" s="48">
        <f>AVERAGE(D13:D15)</f>
        <v>7.333333333333332E-2</v>
      </c>
      <c r="F13" s="48">
        <f>_xlfn.STDEV.S(D13:D15)</f>
        <v>5.7735026918962634E-4</v>
      </c>
      <c r="G13" s="48">
        <f>(E13-0.0062)/0.0007</f>
        <v>95.904761904761884</v>
      </c>
      <c r="H13" s="48">
        <f>((150-G13)/150)*100</f>
        <v>36.063492063492077</v>
      </c>
      <c r="I13" s="10">
        <f>((150-G13)/1)*0.05</f>
        <v>2.7047619047619058</v>
      </c>
    </row>
    <row r="14" spans="2:13" x14ac:dyDescent="0.25">
      <c r="B14" s="68"/>
      <c r="C14" s="48"/>
      <c r="D14" s="48">
        <v>7.3999999999999996E-2</v>
      </c>
      <c r="E14" s="48"/>
      <c r="F14" s="48"/>
      <c r="G14" s="48"/>
      <c r="H14" s="48"/>
      <c r="I14" s="10"/>
    </row>
    <row r="15" spans="2:13" x14ac:dyDescent="0.25">
      <c r="B15" s="68"/>
      <c r="C15" s="47"/>
      <c r="D15" s="47">
        <v>7.2999999999999995E-2</v>
      </c>
      <c r="E15" s="47"/>
      <c r="F15" s="47"/>
      <c r="G15" s="47"/>
      <c r="H15" s="47"/>
      <c r="I15" s="11"/>
    </row>
    <row r="16" spans="2:13" ht="18" x14ac:dyDescent="0.35">
      <c r="B16" s="68"/>
      <c r="C16" s="48"/>
      <c r="D16" s="48"/>
      <c r="E16" s="48"/>
      <c r="F16" s="48"/>
      <c r="G16" s="48"/>
      <c r="H16" s="48"/>
      <c r="I16" s="10"/>
      <c r="K16" s="82" t="s">
        <v>40</v>
      </c>
      <c r="L16" s="87" t="s">
        <v>34</v>
      </c>
      <c r="M16" s="83" t="s">
        <v>26</v>
      </c>
    </row>
    <row r="17" spans="2:13" x14ac:dyDescent="0.25">
      <c r="B17" s="68"/>
      <c r="C17" s="48">
        <v>0.6</v>
      </c>
      <c r="D17" s="48">
        <v>6.9000000000000006E-2</v>
      </c>
      <c r="E17" s="48">
        <f>AVERAGE(D17:D19)</f>
        <v>6.9000000000000006E-2</v>
      </c>
      <c r="F17" s="48">
        <f>_xlfn.STDEV.S(D17:D19)</f>
        <v>0</v>
      </c>
      <c r="G17" s="48">
        <f>(E17-0.0062)/0.0007</f>
        <v>89.714285714285722</v>
      </c>
      <c r="H17" s="48">
        <f>((150-G17)/150)*100</f>
        <v>40.19047619047619</v>
      </c>
      <c r="I17" s="10">
        <f>((150-G17)/1)*0.05</f>
        <v>3.0142857142857142</v>
      </c>
      <c r="K17" s="16">
        <v>0.1</v>
      </c>
      <c r="L17" s="49">
        <f>H5</f>
        <v>28.126984126984127</v>
      </c>
      <c r="M17" s="17">
        <f>I5</f>
        <v>2.1095238095238096</v>
      </c>
    </row>
    <row r="18" spans="2:13" x14ac:dyDescent="0.25">
      <c r="B18" s="68"/>
      <c r="C18" s="48"/>
      <c r="D18" s="48">
        <v>6.9000000000000006E-2</v>
      </c>
      <c r="E18" s="48"/>
      <c r="F18" s="48"/>
      <c r="G18" s="48"/>
      <c r="H18" s="48"/>
      <c r="I18" s="10"/>
      <c r="K18" s="16">
        <v>0.2</v>
      </c>
      <c r="L18" s="49">
        <f>H9</f>
        <v>29.714285714285715</v>
      </c>
      <c r="M18" s="17">
        <f>I9</f>
        <v>2.2285714285714286</v>
      </c>
    </row>
    <row r="19" spans="2:13" x14ac:dyDescent="0.25">
      <c r="B19" s="68"/>
      <c r="C19" s="47"/>
      <c r="D19" s="47">
        <v>6.9000000000000006E-2</v>
      </c>
      <c r="E19" s="47"/>
      <c r="F19" s="47"/>
      <c r="G19" s="47"/>
      <c r="H19" s="47"/>
      <c r="I19" s="11"/>
      <c r="K19" s="16">
        <v>0.4</v>
      </c>
      <c r="L19" s="49">
        <f>H13</f>
        <v>36.063492063492077</v>
      </c>
      <c r="M19" s="17">
        <f>I13</f>
        <v>2.7047619047619058</v>
      </c>
    </row>
    <row r="20" spans="2:13" x14ac:dyDescent="0.25">
      <c r="B20" s="68"/>
      <c r="C20" s="48"/>
      <c r="D20" s="48"/>
      <c r="E20" s="48"/>
      <c r="F20" s="48"/>
      <c r="G20" s="48"/>
      <c r="H20" s="48"/>
      <c r="I20" s="10"/>
      <c r="K20" s="16">
        <v>0.6</v>
      </c>
      <c r="L20" s="49">
        <f>H17</f>
        <v>40.19047619047619</v>
      </c>
      <c r="M20" s="17">
        <f>I17</f>
        <v>3.0142857142857142</v>
      </c>
    </row>
    <row r="21" spans="2:13" x14ac:dyDescent="0.25">
      <c r="B21" s="68"/>
      <c r="C21" s="48">
        <v>0.8</v>
      </c>
      <c r="D21" s="48">
        <v>6.3E-2</v>
      </c>
      <c r="E21" s="48">
        <f>AVERAGE(D21:D23)</f>
        <v>6.3666666666666663E-2</v>
      </c>
      <c r="F21" s="48">
        <f>_xlfn.STDEV.S(D21:D23)</f>
        <v>5.7735026918962634E-4</v>
      </c>
      <c r="G21" s="48">
        <f>(E21-0.0062)/0.0007</f>
        <v>82.095238095238102</v>
      </c>
      <c r="H21" s="48">
        <f>((150-G21)/150)*100</f>
        <v>45.269841269841265</v>
      </c>
      <c r="I21" s="10">
        <f>((150-G21)/1)*0.05</f>
        <v>3.3952380952380952</v>
      </c>
      <c r="K21" s="16">
        <v>0.8</v>
      </c>
      <c r="L21" s="49">
        <f>H21</f>
        <v>45.269841269841265</v>
      </c>
      <c r="M21" s="17">
        <f>I21</f>
        <v>3.3952380952380952</v>
      </c>
    </row>
    <row r="22" spans="2:13" x14ac:dyDescent="0.25">
      <c r="B22" s="68"/>
      <c r="C22" s="48"/>
      <c r="D22" s="48">
        <v>6.4000000000000001E-2</v>
      </c>
      <c r="E22" s="48"/>
      <c r="F22" s="48"/>
      <c r="G22" s="48"/>
      <c r="H22" s="48"/>
      <c r="I22" s="10"/>
      <c r="K22" s="18">
        <v>1</v>
      </c>
      <c r="L22" s="50">
        <f>H25</f>
        <v>50.349206349206355</v>
      </c>
      <c r="M22" s="19">
        <f>I25</f>
        <v>3.776190476190477</v>
      </c>
    </row>
    <row r="23" spans="2:13" x14ac:dyDescent="0.25">
      <c r="B23" s="68"/>
      <c r="C23" s="47"/>
      <c r="D23" s="47">
        <v>6.4000000000000001E-2</v>
      </c>
      <c r="E23" s="47"/>
      <c r="F23" s="47"/>
      <c r="G23" s="47"/>
      <c r="H23" s="47"/>
      <c r="I23" s="11"/>
    </row>
    <row r="24" spans="2:13" x14ac:dyDescent="0.25">
      <c r="B24" s="68"/>
      <c r="C24" s="48"/>
      <c r="D24" s="48"/>
      <c r="E24" s="48"/>
      <c r="F24" s="48"/>
      <c r="G24" s="48"/>
      <c r="H24" s="48"/>
      <c r="I24" s="10"/>
    </row>
    <row r="25" spans="2:13" x14ac:dyDescent="0.25">
      <c r="B25" s="68"/>
      <c r="C25" s="48">
        <v>1</v>
      </c>
      <c r="D25" s="48">
        <v>5.8000000000000003E-2</v>
      </c>
      <c r="E25" s="48">
        <f>AVERAGE(D25:D27)</f>
        <v>5.8333333333333327E-2</v>
      </c>
      <c r="F25" s="48">
        <f>_xlfn.STDEV.S(D25:D27)</f>
        <v>5.7735026918962222E-4</v>
      </c>
      <c r="G25" s="48">
        <f>(E25-0.0062)/0.0007</f>
        <v>74.476190476190467</v>
      </c>
      <c r="H25" s="48">
        <f>((150-G25)/150)*100</f>
        <v>50.349206349206355</v>
      </c>
      <c r="I25" s="10">
        <f>((150-G25)/1)*0.05</f>
        <v>3.776190476190477</v>
      </c>
    </row>
    <row r="26" spans="2:13" x14ac:dyDescent="0.25">
      <c r="B26" s="68"/>
      <c r="C26" s="48"/>
      <c r="D26" s="48">
        <v>5.8000000000000003E-2</v>
      </c>
      <c r="E26" s="48"/>
      <c r="F26" s="48"/>
      <c r="G26" s="48"/>
      <c r="H26" s="48"/>
      <c r="I26" s="10"/>
    </row>
    <row r="27" spans="2:13" x14ac:dyDescent="0.25">
      <c r="B27" s="69"/>
      <c r="C27" s="47"/>
      <c r="D27" s="47">
        <v>5.8999999999999997E-2</v>
      </c>
      <c r="E27" s="47"/>
      <c r="F27" s="47"/>
      <c r="G27" s="47"/>
      <c r="H27" s="47"/>
      <c r="I27" s="11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42"/>
  <sheetViews>
    <sheetView topLeftCell="A19" zoomScale="80" zoomScaleNormal="80" workbookViewId="0">
      <selection activeCell="L88" sqref="L88"/>
    </sheetView>
  </sheetViews>
  <sheetFormatPr defaultRowHeight="15" x14ac:dyDescent="0.25"/>
  <cols>
    <col min="1" max="1" width="9.140625" customWidth="1"/>
    <col min="2" max="2" width="10.7109375" customWidth="1"/>
    <col min="3" max="3" width="15.85546875" customWidth="1"/>
    <col min="4" max="4" width="15.5703125" customWidth="1"/>
    <col min="5" max="5" width="12.7109375" customWidth="1"/>
    <col min="6" max="6" width="12" customWidth="1"/>
    <col min="7" max="7" width="12.140625" customWidth="1"/>
    <col min="8" max="8" width="21.140625" customWidth="1"/>
    <col min="9" max="9" width="12" customWidth="1"/>
    <col min="10" max="10" width="17.7109375" customWidth="1"/>
    <col min="11" max="11" width="13" customWidth="1"/>
    <col min="12" max="12" width="13.140625" customWidth="1"/>
    <col min="13" max="13" width="10.85546875" customWidth="1"/>
    <col min="14" max="14" width="21.42578125" customWidth="1"/>
    <col min="15" max="15" width="16.7109375" customWidth="1"/>
    <col min="18" max="18" width="11.28515625" customWidth="1"/>
    <col min="20" max="20" width="20" customWidth="1"/>
    <col min="21" max="21" width="12.42578125" customWidth="1"/>
  </cols>
  <sheetData>
    <row r="3" spans="2:19" ht="18" x14ac:dyDescent="0.35">
      <c r="B3" s="59" t="s">
        <v>29</v>
      </c>
      <c r="C3" s="139" t="s">
        <v>75</v>
      </c>
      <c r="D3" s="139" t="s">
        <v>30</v>
      </c>
      <c r="E3" s="139" t="s">
        <v>32</v>
      </c>
      <c r="F3" s="139" t="s">
        <v>31</v>
      </c>
      <c r="G3" s="139" t="s">
        <v>43</v>
      </c>
      <c r="H3" s="139" t="s">
        <v>34</v>
      </c>
      <c r="I3" s="133" t="s">
        <v>77</v>
      </c>
      <c r="L3" s="66" t="s">
        <v>37</v>
      </c>
      <c r="M3" s="137" t="s">
        <v>75</v>
      </c>
      <c r="N3" s="137" t="s">
        <v>30</v>
      </c>
      <c r="O3" s="137" t="s">
        <v>32</v>
      </c>
      <c r="P3" s="137" t="s">
        <v>31</v>
      </c>
      <c r="Q3" s="137" t="s">
        <v>43</v>
      </c>
      <c r="R3" s="137" t="s">
        <v>34</v>
      </c>
      <c r="S3" s="134" t="s">
        <v>77</v>
      </c>
    </row>
    <row r="4" spans="2:19" x14ac:dyDescent="0.25">
      <c r="B4" s="60" t="s">
        <v>35</v>
      </c>
      <c r="C4" s="29">
        <v>5</v>
      </c>
      <c r="D4" s="29">
        <v>8.5999999999999993E-2</v>
      </c>
      <c r="E4" s="29">
        <f>AVERAGE(D4:D6)</f>
        <v>8.5666666666666669E-2</v>
      </c>
      <c r="F4" s="29">
        <f>_xlfn.STDEV.S(D4:D6)</f>
        <v>5.7735026918961832E-4</v>
      </c>
      <c r="G4" s="29">
        <f>(E4-0.0062)/0.0007</f>
        <v>113.52380952380953</v>
      </c>
      <c r="H4" s="29">
        <f>((150-G4)/150)*100</f>
        <v>24.317460317460313</v>
      </c>
      <c r="I4" s="162">
        <f>((150-G4)/1)*0.05</f>
        <v>1.8238095238095235</v>
      </c>
      <c r="L4" s="62" t="s">
        <v>35</v>
      </c>
      <c r="M4" s="37">
        <v>5</v>
      </c>
      <c r="N4" s="37">
        <v>0.17699999999999999</v>
      </c>
      <c r="O4" s="37">
        <f>AVERAGE(N4:N6)</f>
        <v>0.17733333333333334</v>
      </c>
      <c r="P4" s="37">
        <f>_xlfn.STDEV.S(N4:N6)</f>
        <v>5.7735026918962634E-4</v>
      </c>
      <c r="Q4" s="37">
        <f>(O4-0.0062)/0.0007</f>
        <v>244.47619047619048</v>
      </c>
      <c r="R4" s="37">
        <f>((300-Q4)/300)*100</f>
        <v>18.507936507936506</v>
      </c>
      <c r="S4" s="38">
        <f>((300-Q4)/1)*0.05</f>
        <v>2.7761904761904761</v>
      </c>
    </row>
    <row r="5" spans="2:19" x14ac:dyDescent="0.25">
      <c r="B5" s="60" t="s">
        <v>76</v>
      </c>
      <c r="C5" s="29"/>
      <c r="D5" s="29">
        <v>8.5999999999999993E-2</v>
      </c>
      <c r="E5" s="29"/>
      <c r="F5" s="29"/>
      <c r="G5" s="29"/>
      <c r="H5" s="29"/>
      <c r="I5" s="162"/>
      <c r="L5" s="62" t="s">
        <v>76</v>
      </c>
      <c r="M5" s="37"/>
      <c r="N5" s="37">
        <v>0.17699999999999999</v>
      </c>
      <c r="O5" s="37"/>
      <c r="P5" s="37"/>
      <c r="Q5" s="37"/>
      <c r="R5" s="37"/>
      <c r="S5" s="38"/>
    </row>
    <row r="6" spans="2:19" x14ac:dyDescent="0.25">
      <c r="B6" s="60"/>
      <c r="C6" s="30"/>
      <c r="D6" s="30">
        <v>8.5000000000000006E-2</v>
      </c>
      <c r="E6" s="30"/>
      <c r="F6" s="30"/>
      <c r="G6" s="30"/>
      <c r="H6" s="30"/>
      <c r="I6" s="163"/>
      <c r="L6" s="62"/>
      <c r="M6" s="40"/>
      <c r="N6" s="40">
        <v>0.17799999999999999</v>
      </c>
      <c r="O6" s="40"/>
      <c r="P6" s="40"/>
      <c r="Q6" s="40"/>
      <c r="R6" s="40"/>
      <c r="S6" s="41"/>
    </row>
    <row r="7" spans="2:19" x14ac:dyDescent="0.25">
      <c r="B7" s="60"/>
      <c r="C7" s="29"/>
      <c r="D7" s="29"/>
      <c r="E7" s="29"/>
      <c r="F7" s="29"/>
      <c r="G7" s="29"/>
      <c r="H7" s="29"/>
      <c r="I7" s="162"/>
      <c r="L7" s="62"/>
      <c r="M7" s="37"/>
      <c r="N7" s="37"/>
      <c r="O7" s="37"/>
      <c r="P7" s="37"/>
      <c r="Q7" s="37"/>
      <c r="R7" s="37"/>
      <c r="S7" s="38"/>
    </row>
    <row r="8" spans="2:19" x14ac:dyDescent="0.25">
      <c r="B8" s="60"/>
      <c r="C8" s="29">
        <v>10</v>
      </c>
      <c r="D8" s="29">
        <v>8.3000000000000004E-2</v>
      </c>
      <c r="E8" s="29">
        <f>AVERAGE(D8:D10)</f>
        <v>8.3666666666666667E-2</v>
      </c>
      <c r="F8" s="29">
        <f>_xlfn.STDEV.S(D8:D10)</f>
        <v>1.1547005383792527E-3</v>
      </c>
      <c r="G8" s="29">
        <f>(E8-0.0062)/0.0007</f>
        <v>110.66666666666667</v>
      </c>
      <c r="H8" s="29">
        <f>((150-G8)/150)*100</f>
        <v>26.222222222222218</v>
      </c>
      <c r="I8" s="162">
        <f>((150-G8)/1)*0.05</f>
        <v>1.9666666666666666</v>
      </c>
      <c r="L8" s="62"/>
      <c r="M8" s="37">
        <v>10</v>
      </c>
      <c r="N8" s="37">
        <v>0.17399999999999999</v>
      </c>
      <c r="O8" s="37">
        <f>AVERAGE(N8:N10)</f>
        <v>0.17266666666666666</v>
      </c>
      <c r="P8" s="37">
        <f>_xlfn.STDEV.S(N8:N10)</f>
        <v>1.5275252316519329E-3</v>
      </c>
      <c r="Q8" s="37">
        <f>(O8-0.0062)/0.0007</f>
        <v>237.8095238095238</v>
      </c>
      <c r="R8" s="37">
        <f>((300-Q8)/300)*100</f>
        <v>20.730158730158735</v>
      </c>
      <c r="S8" s="38">
        <f>((300-Q8)/1)*0.05</f>
        <v>3.1095238095238105</v>
      </c>
    </row>
    <row r="9" spans="2:19" x14ac:dyDescent="0.25">
      <c r="B9" s="60"/>
      <c r="C9" s="29"/>
      <c r="D9" s="29">
        <v>8.3000000000000004E-2</v>
      </c>
      <c r="E9" s="29"/>
      <c r="F9" s="29"/>
      <c r="G9" s="29"/>
      <c r="H9" s="29"/>
      <c r="I9" s="162"/>
      <c r="L9" s="62"/>
      <c r="M9" s="37"/>
      <c r="N9" s="37">
        <v>0.17299999999999999</v>
      </c>
      <c r="O9" s="37"/>
      <c r="P9" s="37"/>
      <c r="Q9" s="37"/>
      <c r="R9" s="37"/>
      <c r="S9" s="38"/>
    </row>
    <row r="10" spans="2:19" x14ac:dyDescent="0.25">
      <c r="B10" s="60"/>
      <c r="C10" s="30"/>
      <c r="D10" s="30">
        <v>8.5000000000000006E-2</v>
      </c>
      <c r="E10" s="30"/>
      <c r="F10" s="30"/>
      <c r="G10" s="30"/>
      <c r="H10" s="30"/>
      <c r="I10" s="163"/>
      <c r="L10" s="62"/>
      <c r="M10" s="40"/>
      <c r="N10" s="40">
        <v>0.17100000000000001</v>
      </c>
      <c r="O10" s="40"/>
      <c r="P10" s="40"/>
      <c r="Q10" s="40"/>
      <c r="R10" s="40"/>
      <c r="S10" s="41"/>
    </row>
    <row r="11" spans="2:19" x14ac:dyDescent="0.25">
      <c r="B11" s="60"/>
      <c r="C11" s="29"/>
      <c r="D11" s="29"/>
      <c r="E11" s="29"/>
      <c r="F11" s="29"/>
      <c r="G11" s="29"/>
      <c r="H11" s="29"/>
      <c r="I11" s="162"/>
      <c r="L11" s="62"/>
      <c r="M11" s="37"/>
      <c r="N11" s="37"/>
      <c r="O11" s="37"/>
      <c r="P11" s="37"/>
      <c r="Q11" s="37"/>
      <c r="R11" s="37"/>
      <c r="S11" s="38"/>
    </row>
    <row r="12" spans="2:19" x14ac:dyDescent="0.25">
      <c r="B12" s="60"/>
      <c r="C12" s="29">
        <v>15</v>
      </c>
      <c r="D12" s="29">
        <v>7.8E-2</v>
      </c>
      <c r="E12" s="29">
        <f>AVERAGE(D12:D14)</f>
        <v>7.7666666666666662E-2</v>
      </c>
      <c r="F12" s="29">
        <f>_xlfn.STDEV.S(D12:D14)</f>
        <v>5.7735026918962634E-4</v>
      </c>
      <c r="G12" s="29">
        <f>(E12-0.0062)/0.0007</f>
        <v>102.09523809523809</v>
      </c>
      <c r="H12" s="29">
        <f>((150-G12)/150)*100</f>
        <v>31.93650793650794</v>
      </c>
      <c r="I12" s="162">
        <f>((150-G12)/1)*0.05</f>
        <v>2.3952380952380956</v>
      </c>
      <c r="L12" s="62"/>
      <c r="M12" s="37">
        <v>15</v>
      </c>
      <c r="N12" s="37">
        <v>0.16700000000000001</v>
      </c>
      <c r="O12" s="37">
        <f>AVERAGE(N12:N14)</f>
        <v>0.16633333333333333</v>
      </c>
      <c r="P12" s="37">
        <f>_xlfn.STDEV.S(N12:N14)</f>
        <v>1.1547005383792527E-3</v>
      </c>
      <c r="Q12" s="37">
        <f>(O12-0.0062)/0.0007</f>
        <v>228.76190476190476</v>
      </c>
      <c r="R12" s="37">
        <f>((300-Q12)/300)*100</f>
        <v>23.746031746031747</v>
      </c>
      <c r="S12" s="38">
        <f>((300-Q12)/1)*0.05</f>
        <v>3.5619047619047621</v>
      </c>
    </row>
    <row r="13" spans="2:19" x14ac:dyDescent="0.25">
      <c r="B13" s="60"/>
      <c r="C13" s="29"/>
      <c r="D13" s="29">
        <v>7.6999999999999999E-2</v>
      </c>
      <c r="E13" s="29"/>
      <c r="F13" s="29"/>
      <c r="G13" s="29"/>
      <c r="H13" s="29"/>
      <c r="I13" s="162"/>
      <c r="L13" s="62"/>
      <c r="M13" s="37"/>
      <c r="N13" s="37">
        <v>0.16700000000000001</v>
      </c>
      <c r="O13" s="37"/>
      <c r="P13" s="37"/>
      <c r="Q13" s="37"/>
      <c r="R13" s="37"/>
      <c r="S13" s="38"/>
    </row>
    <row r="14" spans="2:19" x14ac:dyDescent="0.25">
      <c r="B14" s="60"/>
      <c r="C14" s="30"/>
      <c r="D14" s="30">
        <v>7.8E-2</v>
      </c>
      <c r="E14" s="30"/>
      <c r="F14" s="30"/>
      <c r="G14" s="30"/>
      <c r="H14" s="30"/>
      <c r="I14" s="163"/>
      <c r="L14" s="62"/>
      <c r="M14" s="40"/>
      <c r="N14" s="40">
        <v>0.16500000000000001</v>
      </c>
      <c r="O14" s="40"/>
      <c r="P14" s="40"/>
      <c r="Q14" s="40"/>
      <c r="R14" s="40"/>
      <c r="S14" s="41"/>
    </row>
    <row r="15" spans="2:19" x14ac:dyDescent="0.25">
      <c r="B15" s="60"/>
      <c r="C15" s="29"/>
      <c r="D15" s="29"/>
      <c r="E15" s="29"/>
      <c r="F15" s="29"/>
      <c r="G15" s="29"/>
      <c r="H15" s="29"/>
      <c r="I15" s="162"/>
      <c r="L15" s="62"/>
      <c r="M15" s="37"/>
      <c r="N15" s="37"/>
      <c r="O15" s="37"/>
      <c r="P15" s="37"/>
      <c r="Q15" s="37"/>
      <c r="R15" s="37"/>
      <c r="S15" s="38"/>
    </row>
    <row r="16" spans="2:19" x14ac:dyDescent="0.25">
      <c r="B16" s="60"/>
      <c r="C16" s="29">
        <v>20</v>
      </c>
      <c r="D16" s="29">
        <v>7.6999999999999999E-2</v>
      </c>
      <c r="E16" s="29">
        <f>AVERAGE(D16:D18)</f>
        <v>7.4999999999999997E-2</v>
      </c>
      <c r="F16" s="29">
        <f>_xlfn.STDEV.S(D16:D18)</f>
        <v>2.0000000000000018E-3</v>
      </c>
      <c r="G16" s="29">
        <f>(E16-0.0062)/0.0007</f>
        <v>98.285714285714292</v>
      </c>
      <c r="H16" s="29">
        <f>((150-G16)/150)*100</f>
        <v>34.476190476190474</v>
      </c>
      <c r="I16" s="162">
        <f>((150-G16)/1)*0.05</f>
        <v>2.5857142857142854</v>
      </c>
      <c r="L16" s="62"/>
      <c r="M16" s="37">
        <v>20</v>
      </c>
      <c r="N16" s="37">
        <v>0.16200000000000001</v>
      </c>
      <c r="O16" s="37">
        <f>AVERAGE(N16:N18)</f>
        <v>0.16166666666666665</v>
      </c>
      <c r="P16" s="37">
        <f>_xlfn.STDEV.S(N16:N18)</f>
        <v>5.7735026918962634E-4</v>
      </c>
      <c r="Q16" s="37">
        <f>(O16-0.0062)/0.0007</f>
        <v>222.09523809523807</v>
      </c>
      <c r="R16" s="37">
        <f>((300-Q16)/300)*100</f>
        <v>25.968253968253975</v>
      </c>
      <c r="S16" s="38">
        <f>((300-Q16)/1)*0.05</f>
        <v>3.8952380952380965</v>
      </c>
    </row>
    <row r="17" spans="2:19" x14ac:dyDescent="0.25">
      <c r="B17" s="60"/>
      <c r="C17" s="29"/>
      <c r="D17" s="29">
        <v>7.4999999999999997E-2</v>
      </c>
      <c r="E17" s="29"/>
      <c r="F17" s="29"/>
      <c r="G17" s="29"/>
      <c r="H17" s="29"/>
      <c r="I17" s="162"/>
      <c r="L17" s="62"/>
      <c r="M17" s="37"/>
      <c r="N17" s="37">
        <v>0.16200000000000001</v>
      </c>
      <c r="O17" s="37"/>
      <c r="P17" s="37"/>
      <c r="Q17" s="37"/>
      <c r="R17" s="37"/>
      <c r="S17" s="38"/>
    </row>
    <row r="18" spans="2:19" x14ac:dyDescent="0.25">
      <c r="B18" s="60"/>
      <c r="C18" s="30"/>
      <c r="D18" s="30">
        <v>7.2999999999999995E-2</v>
      </c>
      <c r="E18" s="30"/>
      <c r="F18" s="30"/>
      <c r="G18" s="30"/>
      <c r="H18" s="30"/>
      <c r="I18" s="163"/>
      <c r="L18" s="62"/>
      <c r="M18" s="40"/>
      <c r="N18" s="40">
        <v>0.161</v>
      </c>
      <c r="O18" s="40"/>
      <c r="P18" s="40"/>
      <c r="Q18" s="40"/>
      <c r="R18" s="40"/>
      <c r="S18" s="41"/>
    </row>
    <row r="19" spans="2:19" x14ac:dyDescent="0.25">
      <c r="B19" s="60"/>
      <c r="C19" s="29"/>
      <c r="D19" s="29"/>
      <c r="E19" s="29"/>
      <c r="F19" s="29"/>
      <c r="G19" s="29"/>
      <c r="H19" s="29"/>
      <c r="I19" s="162"/>
      <c r="L19" s="62"/>
      <c r="M19" s="37"/>
      <c r="N19" s="37"/>
      <c r="O19" s="37"/>
      <c r="P19" s="37"/>
      <c r="Q19" s="37"/>
      <c r="R19" s="37"/>
      <c r="S19" s="38"/>
    </row>
    <row r="20" spans="2:19" x14ac:dyDescent="0.25">
      <c r="B20" s="60"/>
      <c r="C20" s="29">
        <v>40</v>
      </c>
      <c r="D20" s="29">
        <v>6.8000000000000005E-2</v>
      </c>
      <c r="E20" s="29">
        <f>AVERAGE(D20:D22)</f>
        <v>6.8333333333333343E-2</v>
      </c>
      <c r="F20" s="29">
        <f>_xlfn.STDEV.S(D20:D22)</f>
        <v>5.7735026918962634E-4</v>
      </c>
      <c r="G20" s="29">
        <f>(E20-0.0062)/0.0007</f>
        <v>88.761904761904788</v>
      </c>
      <c r="H20" s="29">
        <f>((150-G20)/150)*100</f>
        <v>40.825396825396808</v>
      </c>
      <c r="I20" s="162">
        <f>((150-G20)/1)*0.05</f>
        <v>3.0619047619047608</v>
      </c>
      <c r="L20" s="62"/>
      <c r="M20" s="37">
        <v>40</v>
      </c>
      <c r="N20" s="37">
        <v>0.156</v>
      </c>
      <c r="O20" s="37">
        <f>AVERAGE(N20:N22)</f>
        <v>0.15533333333333332</v>
      </c>
      <c r="P20" s="37">
        <f>_xlfn.STDEV.S(N20:N22)</f>
        <v>5.7735026918962634E-4</v>
      </c>
      <c r="Q20" s="37">
        <f>(O20-0.0062)/0.0007</f>
        <v>213.04761904761901</v>
      </c>
      <c r="R20" s="37">
        <f>((300-Q20)/300)*100</f>
        <v>28.984126984126995</v>
      </c>
      <c r="S20" s="38">
        <f>((300-Q20)/1)*0.05</f>
        <v>4.3476190476190499</v>
      </c>
    </row>
    <row r="21" spans="2:19" x14ac:dyDescent="0.25">
      <c r="B21" s="60"/>
      <c r="C21" s="29"/>
      <c r="D21" s="29">
        <v>6.8000000000000005E-2</v>
      </c>
      <c r="E21" s="29"/>
      <c r="F21" s="29"/>
      <c r="G21" s="29"/>
      <c r="H21" s="29"/>
      <c r="I21" s="162"/>
      <c r="L21" s="62"/>
      <c r="M21" s="37"/>
      <c r="N21" s="37">
        <v>0.155</v>
      </c>
      <c r="O21" s="37"/>
      <c r="P21" s="37"/>
      <c r="Q21" s="37"/>
      <c r="R21" s="37"/>
      <c r="S21" s="38"/>
    </row>
    <row r="22" spans="2:19" x14ac:dyDescent="0.25">
      <c r="B22" s="60"/>
      <c r="C22" s="30"/>
      <c r="D22" s="30">
        <v>6.9000000000000006E-2</v>
      </c>
      <c r="E22" s="30"/>
      <c r="F22" s="30"/>
      <c r="G22" s="30"/>
      <c r="H22" s="30"/>
      <c r="I22" s="163"/>
      <c r="L22" s="62"/>
      <c r="M22" s="40"/>
      <c r="N22" s="40">
        <v>0.155</v>
      </c>
      <c r="O22" s="40"/>
      <c r="P22" s="40"/>
      <c r="Q22" s="40"/>
      <c r="R22" s="40"/>
      <c r="S22" s="41"/>
    </row>
    <row r="23" spans="2:19" ht="18" x14ac:dyDescent="0.35">
      <c r="B23" s="60"/>
      <c r="C23" s="29"/>
      <c r="D23" s="29"/>
      <c r="E23" s="29"/>
      <c r="F23" s="29"/>
      <c r="G23" s="29"/>
      <c r="H23" s="29"/>
      <c r="I23" s="22" t="s">
        <v>26</v>
      </c>
      <c r="L23" s="62"/>
      <c r="M23" s="37"/>
      <c r="N23" s="37"/>
      <c r="O23" s="37"/>
      <c r="P23" s="37"/>
      <c r="Q23" s="37"/>
      <c r="R23" s="37"/>
      <c r="S23" s="32" t="s">
        <v>26</v>
      </c>
    </row>
    <row r="24" spans="2:19" ht="18" x14ac:dyDescent="0.35">
      <c r="B24" s="167" t="s">
        <v>78</v>
      </c>
      <c r="C24" s="29">
        <v>60</v>
      </c>
      <c r="D24" s="29">
        <v>6.4000000000000001E-2</v>
      </c>
      <c r="E24" s="29">
        <f>AVERAGE(D24:D26)</f>
        <v>6.433333333333334E-2</v>
      </c>
      <c r="F24" s="29">
        <f>_xlfn.STDEV.S(D24:D26)</f>
        <v>5.7735026918962634E-4</v>
      </c>
      <c r="G24" s="29">
        <f>(E24-0.0062)/0.0007</f>
        <v>83.047619047619065</v>
      </c>
      <c r="H24" s="29">
        <f>((150-G24)/150)*100</f>
        <v>44.634920634920618</v>
      </c>
      <c r="I24" s="162">
        <f>((150-G24)/1)*0.05</f>
        <v>3.3476190476190468</v>
      </c>
      <c r="L24" s="168" t="s">
        <v>78</v>
      </c>
      <c r="M24" s="37">
        <v>60</v>
      </c>
      <c r="N24" s="37">
        <v>0.14799999999999999</v>
      </c>
      <c r="O24" s="37">
        <f>AVERAGE(N24:N26)</f>
        <v>0.14833333333333332</v>
      </c>
      <c r="P24" s="37">
        <f>_xlfn.STDEV.S(N24:N26)</f>
        <v>5.7735026918962634E-4</v>
      </c>
      <c r="Q24" s="37">
        <f>(O24-0.0062)/0.0007</f>
        <v>203.04761904761901</v>
      </c>
      <c r="R24" s="37">
        <f>((300-Q24)/300)*100</f>
        <v>32.317460317460331</v>
      </c>
      <c r="S24" s="38">
        <f>((300-Q24)/1)*0.05</f>
        <v>4.8476190476190499</v>
      </c>
    </row>
    <row r="25" spans="2:19" x14ac:dyDescent="0.25">
      <c r="B25" s="60"/>
      <c r="C25" s="29"/>
      <c r="D25" s="29">
        <v>6.4000000000000001E-2</v>
      </c>
      <c r="E25" s="29"/>
      <c r="F25" s="29"/>
      <c r="G25" s="29"/>
      <c r="H25" s="29"/>
      <c r="I25" s="162"/>
      <c r="L25" s="62"/>
      <c r="M25" s="37"/>
      <c r="N25" s="37">
        <v>0.14799999999999999</v>
      </c>
      <c r="O25" s="37"/>
      <c r="P25" s="37"/>
      <c r="Q25" s="37"/>
      <c r="R25" s="37"/>
      <c r="S25" s="38"/>
    </row>
    <row r="26" spans="2:19" x14ac:dyDescent="0.25">
      <c r="B26" s="60"/>
      <c r="C26" s="30"/>
      <c r="D26" s="30">
        <v>6.5000000000000002E-2</v>
      </c>
      <c r="E26" s="30"/>
      <c r="F26" s="30"/>
      <c r="G26" s="30"/>
      <c r="H26" s="30"/>
      <c r="I26" s="163"/>
      <c r="L26" s="62"/>
      <c r="M26" s="40"/>
      <c r="N26" s="40">
        <v>0.14899999999999999</v>
      </c>
      <c r="O26" s="40"/>
      <c r="P26" s="40"/>
      <c r="Q26" s="40"/>
      <c r="R26" s="40"/>
      <c r="S26" s="41"/>
    </row>
    <row r="27" spans="2:19" x14ac:dyDescent="0.25">
      <c r="B27" s="60"/>
      <c r="C27" s="29"/>
      <c r="D27" s="29"/>
      <c r="E27" s="29"/>
      <c r="F27" s="29"/>
      <c r="G27" s="29"/>
      <c r="H27" s="29"/>
      <c r="I27" s="162"/>
      <c r="L27" s="62"/>
      <c r="M27" s="37"/>
      <c r="N27" s="37"/>
      <c r="O27" s="37"/>
      <c r="P27" s="37"/>
      <c r="Q27" s="37"/>
      <c r="R27" s="37"/>
      <c r="S27" s="38"/>
    </row>
    <row r="28" spans="2:19" x14ac:dyDescent="0.25">
      <c r="B28" s="60"/>
      <c r="C28" s="29">
        <v>120</v>
      </c>
      <c r="D28" s="29">
        <v>6.4000000000000001E-2</v>
      </c>
      <c r="E28" s="29">
        <f>AVERAGE(D28:D30)</f>
        <v>6.3333333333333339E-2</v>
      </c>
      <c r="F28" s="29">
        <f>_xlfn.STDEV.S(D28:D30)</f>
        <v>5.7735026918962634E-4</v>
      </c>
      <c r="G28" s="29">
        <f>(E28-0.0062)/0.0007</f>
        <v>81.619047619047635</v>
      </c>
      <c r="H28" s="29">
        <f>((150-G28)/150)*100</f>
        <v>45.587301587301575</v>
      </c>
      <c r="I28" s="162">
        <f>((150-G28)/1)*0.05</f>
        <v>3.4190476190476184</v>
      </c>
      <c r="L28" s="62"/>
      <c r="M28" s="37">
        <v>120</v>
      </c>
      <c r="N28" s="37">
        <v>0.14899999999999999</v>
      </c>
      <c r="O28" s="37">
        <f>AVERAGE(N28:N30)</f>
        <v>0.14766666666666664</v>
      </c>
      <c r="P28" s="37">
        <f>_xlfn.STDEV.S(N28:N30)</f>
        <v>1.1547005383792527E-3</v>
      </c>
      <c r="Q28" s="37">
        <f>(O28-0.0062)/0.0007</f>
        <v>202.09523809523805</v>
      </c>
      <c r="R28" s="37">
        <f>((300-Q28)/300)*100</f>
        <v>32.634920634920647</v>
      </c>
      <c r="S28" s="38">
        <f>((300-Q28)/1)*0.05</f>
        <v>4.8952380952380983</v>
      </c>
    </row>
    <row r="29" spans="2:19" x14ac:dyDescent="0.25">
      <c r="B29" s="60"/>
      <c r="C29" s="29"/>
      <c r="D29" s="29">
        <v>6.3E-2</v>
      </c>
      <c r="E29" s="29"/>
      <c r="F29" s="29"/>
      <c r="G29" s="29"/>
      <c r="H29" s="29"/>
      <c r="I29" s="162"/>
      <c r="L29" s="62"/>
      <c r="M29" s="37"/>
      <c r="N29" s="37">
        <v>0.14699999999999999</v>
      </c>
      <c r="O29" s="37"/>
      <c r="P29" s="37"/>
      <c r="Q29" s="37"/>
      <c r="R29" s="37"/>
      <c r="S29" s="38"/>
    </row>
    <row r="30" spans="2:19" x14ac:dyDescent="0.25">
      <c r="B30" s="61"/>
      <c r="C30" s="30"/>
      <c r="D30" s="30">
        <v>6.3E-2</v>
      </c>
      <c r="E30" s="30"/>
      <c r="F30" s="30"/>
      <c r="G30" s="30"/>
      <c r="H30" s="30"/>
      <c r="I30" s="163"/>
      <c r="L30" s="64"/>
      <c r="M30" s="40"/>
      <c r="N30" s="40">
        <v>0.14699999999999999</v>
      </c>
      <c r="O30" s="40"/>
      <c r="P30" s="40"/>
      <c r="Q30" s="40"/>
      <c r="R30" s="40"/>
      <c r="S30" s="41"/>
    </row>
    <row r="33" spans="2:19" ht="18" x14ac:dyDescent="0.35">
      <c r="B33" s="53" t="s">
        <v>38</v>
      </c>
      <c r="C33" s="138" t="s">
        <v>75</v>
      </c>
      <c r="D33" s="138" t="s">
        <v>30</v>
      </c>
      <c r="E33" s="138" t="s">
        <v>32</v>
      </c>
      <c r="F33" s="138" t="s">
        <v>31</v>
      </c>
      <c r="G33" s="138" t="s">
        <v>43</v>
      </c>
      <c r="H33" s="138" t="s">
        <v>34</v>
      </c>
      <c r="I33" s="135" t="s">
        <v>77</v>
      </c>
      <c r="L33" s="67" t="s">
        <v>39</v>
      </c>
      <c r="M33" s="140" t="s">
        <v>75</v>
      </c>
      <c r="N33" s="140" t="s">
        <v>30</v>
      </c>
      <c r="O33" s="140" t="s">
        <v>32</v>
      </c>
      <c r="P33" s="140" t="s">
        <v>31</v>
      </c>
      <c r="Q33" s="140" t="s">
        <v>43</v>
      </c>
      <c r="R33" s="140" t="s">
        <v>34</v>
      </c>
      <c r="S33" s="136" t="s">
        <v>77</v>
      </c>
    </row>
    <row r="34" spans="2:19" x14ac:dyDescent="0.25">
      <c r="B34" s="52" t="s">
        <v>35</v>
      </c>
      <c r="C34" s="49">
        <v>5</v>
      </c>
      <c r="D34" s="49">
        <v>0.24099999999999999</v>
      </c>
      <c r="E34" s="49">
        <f>AVERAGE(D34:D36)</f>
        <v>0.24033333333333332</v>
      </c>
      <c r="F34" s="49">
        <f>_xlfn.STDEV.S(D34:D36)</f>
        <v>1.1547005383792527E-3</v>
      </c>
      <c r="G34" s="49">
        <f>(E34-0.0062)/0.0007</f>
        <v>334.47619047619042</v>
      </c>
      <c r="H34" s="49">
        <f>((400-G34)/400)*100</f>
        <v>16.380952380952394</v>
      </c>
      <c r="I34" s="17">
        <f>((400-G34)/1)*0.05</f>
        <v>3.2761904761904788</v>
      </c>
      <c r="L34" s="68" t="s">
        <v>35</v>
      </c>
      <c r="M34" s="46">
        <v>5</v>
      </c>
      <c r="N34" s="46">
        <v>0.311</v>
      </c>
      <c r="O34" s="46">
        <f>AVERAGE(N34:N36)</f>
        <v>0.3113333333333333</v>
      </c>
      <c r="P34" s="46">
        <f>_xlfn.STDEV.S(N34:N36)</f>
        <v>5.7735026918962634E-4</v>
      </c>
      <c r="Q34" s="46">
        <f>(O34-0.0062)/0.0007</f>
        <v>435.90476190476187</v>
      </c>
      <c r="R34" s="46">
        <f>((500-Q34)/500)*100</f>
        <v>12.819047619047627</v>
      </c>
      <c r="S34" s="10">
        <f>((500-Q34)/1)*0.05</f>
        <v>3.2047619047619067</v>
      </c>
    </row>
    <row r="35" spans="2:19" x14ac:dyDescent="0.25">
      <c r="B35" s="52" t="s">
        <v>76</v>
      </c>
      <c r="C35" s="49"/>
      <c r="D35" s="49">
        <v>0.23899999999999999</v>
      </c>
      <c r="E35" s="49"/>
      <c r="F35" s="49"/>
      <c r="G35" s="49"/>
      <c r="H35" s="49"/>
      <c r="I35" s="17"/>
      <c r="L35" s="68" t="s">
        <v>76</v>
      </c>
      <c r="M35" s="46"/>
      <c r="N35" s="46">
        <v>0.311</v>
      </c>
      <c r="O35" s="46"/>
      <c r="P35" s="46"/>
      <c r="Q35" s="46"/>
      <c r="R35" s="46"/>
      <c r="S35" s="10"/>
    </row>
    <row r="36" spans="2:19" x14ac:dyDescent="0.25">
      <c r="B36" s="52"/>
      <c r="C36" s="50"/>
      <c r="D36" s="50">
        <v>0.24099999999999999</v>
      </c>
      <c r="E36" s="50"/>
      <c r="F36" s="50"/>
      <c r="G36" s="50"/>
      <c r="H36" s="50"/>
      <c r="I36" s="19"/>
      <c r="L36" s="68"/>
      <c r="M36" s="47"/>
      <c r="N36" s="47">
        <v>0.312</v>
      </c>
      <c r="O36" s="47"/>
      <c r="P36" s="47"/>
      <c r="Q36" s="47"/>
      <c r="R36" s="47"/>
      <c r="S36" s="11"/>
    </row>
    <row r="37" spans="2:19" x14ac:dyDescent="0.25">
      <c r="B37" s="52"/>
      <c r="C37" s="49"/>
      <c r="D37" s="49"/>
      <c r="E37" s="49"/>
      <c r="F37" s="49"/>
      <c r="G37" s="49"/>
      <c r="H37" s="49"/>
      <c r="I37" s="17"/>
      <c r="L37" s="68"/>
      <c r="M37" s="46"/>
      <c r="N37" s="46"/>
      <c r="O37" s="46"/>
      <c r="P37" s="46"/>
      <c r="Q37" s="46"/>
      <c r="R37" s="46"/>
      <c r="S37" s="10"/>
    </row>
    <row r="38" spans="2:19" x14ac:dyDescent="0.25">
      <c r="B38" s="52"/>
      <c r="C38" s="49">
        <v>10</v>
      </c>
      <c r="D38" s="49">
        <v>0.23300000000000001</v>
      </c>
      <c r="E38" s="49">
        <f>AVERAGE(D38:D40)</f>
        <v>0.23300000000000001</v>
      </c>
      <c r="F38" s="49">
        <f>_xlfn.STDEV.S(D38:D40)</f>
        <v>0</v>
      </c>
      <c r="G38" s="49">
        <f>(E38-0.0062)/0.0007</f>
        <v>324</v>
      </c>
      <c r="H38" s="49">
        <f>((400-G38)/400)*100</f>
        <v>19</v>
      </c>
      <c r="I38" s="17">
        <f>((400-G38)/1)*0.05</f>
        <v>3.8000000000000003</v>
      </c>
      <c r="L38" s="68"/>
      <c r="M38" s="46">
        <v>10</v>
      </c>
      <c r="N38" s="46">
        <v>0.29899999999999999</v>
      </c>
      <c r="O38" s="46">
        <f>AVERAGE(N38:N40)</f>
        <v>0.29833333333333334</v>
      </c>
      <c r="P38" s="46">
        <f>_xlfn.STDEV.S(N38:N40)</f>
        <v>1.1547005383792527E-3</v>
      </c>
      <c r="Q38" s="46">
        <f>(O38-0.0062)/0.0007</f>
        <v>417.33333333333337</v>
      </c>
      <c r="R38" s="46">
        <f>((500-Q38)/500)*100</f>
        <v>16.533333333333324</v>
      </c>
      <c r="S38" s="10">
        <f>((500-Q38)/1)*0.05</f>
        <v>4.133333333333332</v>
      </c>
    </row>
    <row r="39" spans="2:19" x14ac:dyDescent="0.25">
      <c r="B39" s="52"/>
      <c r="C39" s="49"/>
      <c r="D39" s="49">
        <v>0.23300000000000001</v>
      </c>
      <c r="E39" s="49"/>
      <c r="F39" s="49"/>
      <c r="G39" s="49"/>
      <c r="H39" s="49"/>
      <c r="I39" s="17"/>
      <c r="L39" s="68"/>
      <c r="M39" s="46"/>
      <c r="N39" s="46">
        <v>0.29899999999999999</v>
      </c>
      <c r="O39" s="46"/>
      <c r="P39" s="46"/>
      <c r="Q39" s="46"/>
      <c r="R39" s="46"/>
      <c r="S39" s="10"/>
    </row>
    <row r="40" spans="2:19" x14ac:dyDescent="0.25">
      <c r="B40" s="52"/>
      <c r="C40" s="50"/>
      <c r="D40" s="50">
        <v>0.23300000000000001</v>
      </c>
      <c r="E40" s="50"/>
      <c r="F40" s="50"/>
      <c r="G40" s="50"/>
      <c r="H40" s="50"/>
      <c r="I40" s="19"/>
      <c r="L40" s="68"/>
      <c r="M40" s="47"/>
      <c r="N40" s="47">
        <v>0.29699999999999999</v>
      </c>
      <c r="O40" s="47"/>
      <c r="P40" s="47"/>
      <c r="Q40" s="47"/>
      <c r="R40" s="47"/>
      <c r="S40" s="11"/>
    </row>
    <row r="41" spans="2:19" x14ac:dyDescent="0.25">
      <c r="B41" s="52"/>
      <c r="C41" s="49"/>
      <c r="D41" s="49"/>
      <c r="E41" s="49"/>
      <c r="F41" s="49"/>
      <c r="G41" s="49"/>
      <c r="H41" s="49"/>
      <c r="I41" s="17"/>
      <c r="L41" s="68"/>
      <c r="M41" s="46"/>
      <c r="N41" s="46"/>
      <c r="O41" s="46"/>
      <c r="P41" s="46"/>
      <c r="Q41" s="46"/>
      <c r="R41" s="46"/>
      <c r="S41" s="10"/>
    </row>
    <row r="42" spans="2:19" x14ac:dyDescent="0.25">
      <c r="B42" s="52"/>
      <c r="C42" s="49">
        <v>15</v>
      </c>
      <c r="D42" s="49">
        <v>0.22500000000000001</v>
      </c>
      <c r="E42" s="49">
        <f>AVERAGE(D42:D44)</f>
        <v>0.22633333333333336</v>
      </c>
      <c r="F42" s="49">
        <f>_xlfn.STDEV.S(D42:D44)</f>
        <v>1.1547005383792527E-3</v>
      </c>
      <c r="G42" s="49">
        <f>(E42-0.0062)/0.0007</f>
        <v>314.47619047619048</v>
      </c>
      <c r="H42" s="49">
        <f>((400-G42)/400)*100</f>
        <v>21.38095238095238</v>
      </c>
      <c r="I42" s="17">
        <f>((400-G42)/1)*0.05</f>
        <v>4.2761904761904761</v>
      </c>
      <c r="L42" s="68"/>
      <c r="M42" s="46">
        <v>15</v>
      </c>
      <c r="N42" s="46">
        <v>0.29399999999999998</v>
      </c>
      <c r="O42" s="46">
        <f>AVERAGE(N42:N44)</f>
        <v>0.29366666666666669</v>
      </c>
      <c r="P42" s="46">
        <f>_xlfn.STDEV.S(N42:N44)</f>
        <v>5.7735026918962634E-4</v>
      </c>
      <c r="Q42" s="46">
        <f>(O42-0.0062)/0.0007</f>
        <v>410.66666666666674</v>
      </c>
      <c r="R42" s="46">
        <f>((500-Q42)/500)*100</f>
        <v>17.866666666666649</v>
      </c>
      <c r="S42" s="10">
        <f>((500-Q42)/1)*0.05</f>
        <v>4.4666666666666632</v>
      </c>
    </row>
    <row r="43" spans="2:19" x14ac:dyDescent="0.25">
      <c r="B43" s="52"/>
      <c r="C43" s="49"/>
      <c r="D43" s="49">
        <v>0.22700000000000001</v>
      </c>
      <c r="E43" s="49"/>
      <c r="F43" s="49"/>
      <c r="G43" s="49"/>
      <c r="H43" s="49"/>
      <c r="I43" s="17"/>
      <c r="L43" s="68"/>
      <c r="M43" s="46"/>
      <c r="N43" s="46">
        <v>0.29399999999999998</v>
      </c>
      <c r="O43" s="46"/>
      <c r="P43" s="46"/>
      <c r="Q43" s="46"/>
      <c r="R43" s="46"/>
      <c r="S43" s="10"/>
    </row>
    <row r="44" spans="2:19" x14ac:dyDescent="0.25">
      <c r="B44" s="52"/>
      <c r="C44" s="50"/>
      <c r="D44" s="50">
        <v>0.22700000000000001</v>
      </c>
      <c r="E44" s="50"/>
      <c r="F44" s="50"/>
      <c r="G44" s="50"/>
      <c r="H44" s="50"/>
      <c r="I44" s="19"/>
      <c r="L44" s="68"/>
      <c r="M44" s="47"/>
      <c r="N44" s="47">
        <v>0.29299999999999998</v>
      </c>
      <c r="O44" s="47"/>
      <c r="P44" s="47"/>
      <c r="Q44" s="47"/>
      <c r="R44" s="47"/>
      <c r="S44" s="11"/>
    </row>
    <row r="45" spans="2:19" x14ac:dyDescent="0.25">
      <c r="B45" s="52"/>
      <c r="C45" s="49"/>
      <c r="D45" s="49"/>
      <c r="E45" s="49"/>
      <c r="F45" s="49"/>
      <c r="G45" s="49"/>
      <c r="H45" s="49"/>
      <c r="I45" s="17"/>
      <c r="L45" s="68"/>
      <c r="M45" s="46"/>
      <c r="N45" s="46"/>
      <c r="O45" s="46"/>
      <c r="P45" s="46"/>
      <c r="Q45" s="46"/>
      <c r="R45" s="46"/>
      <c r="S45" s="10"/>
    </row>
    <row r="46" spans="2:19" x14ac:dyDescent="0.25">
      <c r="B46" s="52"/>
      <c r="C46" s="49">
        <v>20</v>
      </c>
      <c r="D46" s="49">
        <v>0.224</v>
      </c>
      <c r="E46" s="49">
        <f>AVERAGE(D46:D48)</f>
        <v>0.22366666666666668</v>
      </c>
      <c r="F46" s="49">
        <f>_xlfn.STDEV.S(D46:D48)</f>
        <v>5.7735026918962634E-4</v>
      </c>
      <c r="G46" s="49">
        <f>(E46-0.0062)/0.0007</f>
        <v>310.66666666666669</v>
      </c>
      <c r="H46" s="49">
        <f>((400-G46)/400)*100</f>
        <v>22.333333333333329</v>
      </c>
      <c r="I46" s="17">
        <f>((400-G46)/1)*0.05</f>
        <v>4.4666666666666659</v>
      </c>
      <c r="L46" s="68"/>
      <c r="M46" s="46">
        <v>20</v>
      </c>
      <c r="N46" s="46">
        <v>0.28899999999999998</v>
      </c>
      <c r="O46" s="46">
        <f>AVERAGE(N46:N48)</f>
        <v>0.28899999999999998</v>
      </c>
      <c r="P46" s="46">
        <f>_xlfn.STDEV.S(N46:N48)</f>
        <v>1.0000000000000009E-3</v>
      </c>
      <c r="Q46" s="46">
        <f>(O46-0.0062)/0.0007</f>
        <v>404</v>
      </c>
      <c r="R46" s="46">
        <f>((500-Q46)/500)*100</f>
        <v>19.2</v>
      </c>
      <c r="S46" s="10">
        <f>((500-Q46)/1)*0.05</f>
        <v>4.8000000000000007</v>
      </c>
    </row>
    <row r="47" spans="2:19" x14ac:dyDescent="0.25">
      <c r="B47" s="52"/>
      <c r="C47" s="49"/>
      <c r="D47" s="49">
        <v>0.224</v>
      </c>
      <c r="E47" s="49"/>
      <c r="F47" s="49"/>
      <c r="G47" s="49"/>
      <c r="H47" s="49"/>
      <c r="I47" s="17"/>
      <c r="L47" s="68"/>
      <c r="M47" s="46"/>
      <c r="N47" s="46">
        <v>0.28799999999999998</v>
      </c>
      <c r="O47" s="46"/>
      <c r="P47" s="46"/>
      <c r="Q47" s="46"/>
      <c r="R47" s="46"/>
      <c r="S47" s="10"/>
    </row>
    <row r="48" spans="2:19" x14ac:dyDescent="0.25">
      <c r="B48" s="52"/>
      <c r="C48" s="50"/>
      <c r="D48" s="50">
        <v>0.223</v>
      </c>
      <c r="E48" s="50"/>
      <c r="F48" s="50"/>
      <c r="G48" s="50"/>
      <c r="H48" s="50"/>
      <c r="I48" s="19"/>
      <c r="L48" s="68"/>
      <c r="M48" s="47"/>
      <c r="N48" s="47">
        <v>0.28999999999999998</v>
      </c>
      <c r="O48" s="47"/>
      <c r="P48" s="47"/>
      <c r="Q48" s="47"/>
      <c r="R48" s="47"/>
      <c r="S48" s="11"/>
    </row>
    <row r="49" spans="2:19" x14ac:dyDescent="0.25">
      <c r="B49" s="52"/>
      <c r="C49" s="49"/>
      <c r="D49" s="49"/>
      <c r="E49" s="49"/>
      <c r="F49" s="49"/>
      <c r="G49" s="49"/>
      <c r="H49" s="49"/>
      <c r="I49" s="17"/>
      <c r="L49" s="68"/>
      <c r="M49" s="46"/>
      <c r="N49" s="46"/>
      <c r="O49" s="46"/>
      <c r="P49" s="46"/>
      <c r="Q49" s="46"/>
      <c r="R49" s="46"/>
      <c r="S49" s="10"/>
    </row>
    <row r="50" spans="2:19" x14ac:dyDescent="0.25">
      <c r="B50" s="52"/>
      <c r="C50" s="49">
        <v>40</v>
      </c>
      <c r="D50" s="49">
        <v>0.215</v>
      </c>
      <c r="E50" s="49">
        <f>AVERAGE(D50:D52)</f>
        <v>0.21466666666666667</v>
      </c>
      <c r="F50" s="49">
        <f>_xlfn.STDEV.S(D50:D52)</f>
        <v>5.7735026918962634E-4</v>
      </c>
      <c r="G50" s="49">
        <f>(E50-0.0062)/0.0007</f>
        <v>297.8095238095238</v>
      </c>
      <c r="H50" s="49">
        <f>((400-G50)/400)*100</f>
        <v>25.547619047619051</v>
      </c>
      <c r="I50" s="17">
        <f>((400-G50)/1)*0.05</f>
        <v>5.1095238095238109</v>
      </c>
      <c r="L50" s="68"/>
      <c r="M50" s="46">
        <v>40</v>
      </c>
      <c r="N50" s="46">
        <v>0.28100000000000003</v>
      </c>
      <c r="O50" s="46">
        <f>AVERAGE(N50:N52)</f>
        <v>0.28233333333333333</v>
      </c>
      <c r="P50" s="46">
        <f>_xlfn.STDEV.S(N50:N52)</f>
        <v>1.5275252316519238E-3</v>
      </c>
      <c r="Q50" s="46">
        <f>(O50-0.0062)/0.0007</f>
        <v>394.47619047619048</v>
      </c>
      <c r="R50" s="46">
        <f>((500-Q50)/500)*100</f>
        <v>21.104761904761904</v>
      </c>
      <c r="S50" s="10">
        <f>((500-Q50)/1)*0.05</f>
        <v>5.2761904761904761</v>
      </c>
    </row>
    <row r="51" spans="2:19" x14ac:dyDescent="0.25">
      <c r="B51" s="52"/>
      <c r="C51" s="49"/>
      <c r="D51" s="49">
        <v>0.215</v>
      </c>
      <c r="E51" s="49"/>
      <c r="F51" s="49"/>
      <c r="G51" s="49"/>
      <c r="H51" s="49"/>
      <c r="I51" s="17"/>
      <c r="L51" s="68"/>
      <c r="M51" s="46"/>
      <c r="N51" s="46">
        <v>0.28199999999999997</v>
      </c>
      <c r="O51" s="46"/>
      <c r="P51" s="46"/>
      <c r="Q51" s="46"/>
      <c r="R51" s="46"/>
      <c r="S51" s="10"/>
    </row>
    <row r="52" spans="2:19" x14ac:dyDescent="0.25">
      <c r="B52" s="52"/>
      <c r="C52" s="50"/>
      <c r="D52" s="50">
        <v>0.214</v>
      </c>
      <c r="E52" s="50"/>
      <c r="F52" s="50"/>
      <c r="G52" s="50"/>
      <c r="H52" s="50"/>
      <c r="I52" s="19"/>
      <c r="L52" s="68"/>
      <c r="M52" s="47"/>
      <c r="N52" s="47">
        <v>0.28399999999999997</v>
      </c>
      <c r="O52" s="47"/>
      <c r="P52" s="47"/>
      <c r="Q52" s="47"/>
      <c r="R52" s="47"/>
      <c r="S52" s="11"/>
    </row>
    <row r="53" spans="2:19" ht="18" x14ac:dyDescent="0.35">
      <c r="B53" s="52"/>
      <c r="C53" s="49"/>
      <c r="D53" s="49"/>
      <c r="E53" s="49"/>
      <c r="F53" s="49"/>
      <c r="G53" s="49"/>
      <c r="H53" s="49"/>
      <c r="I53" s="13" t="s">
        <v>26</v>
      </c>
      <c r="L53" s="68"/>
      <c r="M53" s="46"/>
      <c r="N53" s="46"/>
      <c r="O53" s="46"/>
      <c r="P53" s="46"/>
      <c r="Q53" s="46"/>
      <c r="R53" s="46"/>
      <c r="S53" s="171" t="s">
        <v>26</v>
      </c>
    </row>
    <row r="54" spans="2:19" ht="18" x14ac:dyDescent="0.35">
      <c r="B54" s="170" t="s">
        <v>78</v>
      </c>
      <c r="C54" s="49">
        <v>60</v>
      </c>
      <c r="D54" s="49">
        <v>0.20899999999999999</v>
      </c>
      <c r="E54" s="49">
        <f>AVERAGE(D54:D56)</f>
        <v>0.20966666666666667</v>
      </c>
      <c r="F54" s="49">
        <f>_xlfn.STDEV.S(D54:D56)</f>
        <v>5.7735026918962634E-4</v>
      </c>
      <c r="G54" s="49">
        <f>(E54-0.0062)/0.0007</f>
        <v>290.66666666666663</v>
      </c>
      <c r="H54" s="49">
        <f>((400-G54)/400)*100</f>
        <v>27.333333333333343</v>
      </c>
      <c r="I54" s="17">
        <f>((400-G54)/1)*0.05</f>
        <v>5.4666666666666686</v>
      </c>
      <c r="L54" s="169" t="s">
        <v>78</v>
      </c>
      <c r="M54" s="46">
        <v>60</v>
      </c>
      <c r="N54" s="46">
        <v>0.27400000000000002</v>
      </c>
      <c r="O54" s="46">
        <f>AVERAGE(N54:N56)</f>
        <v>0.27500000000000002</v>
      </c>
      <c r="P54" s="46">
        <f>_xlfn.STDEV.S(N54:N56)</f>
        <v>1.0000000000000009E-3</v>
      </c>
      <c r="Q54" s="46">
        <f>(O54-0.0062)/0.0007</f>
        <v>384.00000000000006</v>
      </c>
      <c r="R54" s="46">
        <f>((500-Q54)/500)*100</f>
        <v>23.199999999999989</v>
      </c>
      <c r="S54" s="10">
        <f>((500-Q54)/1)*0.05</f>
        <v>5.7999999999999972</v>
      </c>
    </row>
    <row r="55" spans="2:19" x14ac:dyDescent="0.25">
      <c r="B55" s="52"/>
      <c r="C55" s="49"/>
      <c r="D55" s="49">
        <v>0.21</v>
      </c>
      <c r="E55" s="49"/>
      <c r="F55" s="49"/>
      <c r="G55" s="49"/>
      <c r="H55" s="49"/>
      <c r="I55" s="17"/>
      <c r="L55" s="68"/>
      <c r="M55" s="46"/>
      <c r="N55" s="46">
        <v>0.27500000000000002</v>
      </c>
      <c r="O55" s="46"/>
      <c r="P55" s="46"/>
      <c r="Q55" s="46"/>
      <c r="R55" s="46"/>
      <c r="S55" s="10"/>
    </row>
    <row r="56" spans="2:19" x14ac:dyDescent="0.25">
      <c r="B56" s="52"/>
      <c r="C56" s="50"/>
      <c r="D56" s="50">
        <v>0.21</v>
      </c>
      <c r="E56" s="50"/>
      <c r="F56" s="50"/>
      <c r="G56" s="50"/>
      <c r="H56" s="50"/>
      <c r="I56" s="19"/>
      <c r="L56" s="68"/>
      <c r="M56" s="47"/>
      <c r="N56" s="47">
        <v>0.27600000000000002</v>
      </c>
      <c r="O56" s="47"/>
      <c r="P56" s="47"/>
      <c r="Q56" s="47"/>
      <c r="R56" s="47"/>
      <c r="S56" s="11"/>
    </row>
    <row r="57" spans="2:19" x14ac:dyDescent="0.25">
      <c r="B57" s="52"/>
      <c r="C57" s="49"/>
      <c r="D57" s="49"/>
      <c r="E57" s="49"/>
      <c r="F57" s="49"/>
      <c r="G57" s="49"/>
      <c r="H57" s="49"/>
      <c r="I57" s="17"/>
      <c r="L57" s="68"/>
      <c r="M57" s="46"/>
      <c r="N57" s="46"/>
      <c r="O57" s="46"/>
      <c r="P57" s="46"/>
      <c r="Q57" s="46"/>
      <c r="R57" s="46"/>
      <c r="S57" s="10"/>
    </row>
    <row r="58" spans="2:19" x14ac:dyDescent="0.25">
      <c r="B58" s="52"/>
      <c r="C58" s="49">
        <v>120</v>
      </c>
      <c r="D58" s="49">
        <v>0.20899999999999999</v>
      </c>
      <c r="E58" s="49">
        <f>AVERAGE(D58:D60)</f>
        <v>0.20933333333333334</v>
      </c>
      <c r="F58" s="49">
        <f>_xlfn.STDEV.S(D58:D60)</f>
        <v>5.7735026918962634E-4</v>
      </c>
      <c r="G58" s="49">
        <f>(E58-0.0062)/0.0007</f>
        <v>290.1904761904762</v>
      </c>
      <c r="H58" s="49">
        <f>((400-G58)/400)*100</f>
        <v>27.452380952380949</v>
      </c>
      <c r="I58" s="17">
        <f>((400-G58)/1)*0.05</f>
        <v>5.4904761904761905</v>
      </c>
      <c r="L58" s="68"/>
      <c r="M58" s="46">
        <v>120</v>
      </c>
      <c r="N58" s="46">
        <v>0.27400000000000002</v>
      </c>
      <c r="O58" s="46">
        <f>AVERAGE(N58:N60)</f>
        <v>0.27366666666666667</v>
      </c>
      <c r="P58" s="46">
        <f>_xlfn.STDEV.S(N58:N60)</f>
        <v>5.7735026918962634E-4</v>
      </c>
      <c r="Q58" s="46">
        <f>(O58-0.0062)/0.0007</f>
        <v>382.09523809523813</v>
      </c>
      <c r="R58" s="46">
        <f>((500-Q58)/500)*100</f>
        <v>23.580952380952375</v>
      </c>
      <c r="S58" s="10">
        <f>((500-Q58)/1)*0.05</f>
        <v>5.8952380952380938</v>
      </c>
    </row>
    <row r="59" spans="2:19" x14ac:dyDescent="0.25">
      <c r="B59" s="52"/>
      <c r="C59" s="49"/>
      <c r="D59" s="49">
        <v>0.21</v>
      </c>
      <c r="E59" s="49"/>
      <c r="F59" s="49"/>
      <c r="G59" s="49"/>
      <c r="H59" s="49"/>
      <c r="I59" s="17"/>
      <c r="L59" s="68"/>
      <c r="M59" s="46"/>
      <c r="N59" s="46">
        <v>0.27400000000000002</v>
      </c>
      <c r="O59" s="46"/>
      <c r="P59" s="46"/>
      <c r="Q59" s="46"/>
      <c r="R59" s="46"/>
      <c r="S59" s="10"/>
    </row>
    <row r="60" spans="2:19" x14ac:dyDescent="0.25">
      <c r="B60" s="56"/>
      <c r="C60" s="50"/>
      <c r="D60" s="50">
        <v>0.20899999999999999</v>
      </c>
      <c r="E60" s="50"/>
      <c r="F60" s="50"/>
      <c r="G60" s="50"/>
      <c r="H60" s="50"/>
      <c r="I60" s="19"/>
      <c r="L60" s="69"/>
      <c r="M60" s="47"/>
      <c r="N60" s="47">
        <v>0.27300000000000002</v>
      </c>
      <c r="O60" s="47"/>
      <c r="P60" s="47"/>
      <c r="Q60" s="47"/>
      <c r="R60" s="47"/>
      <c r="S60" s="11"/>
    </row>
    <row r="64" spans="2:19" x14ac:dyDescent="0.25">
      <c r="D64" s="132" t="s">
        <v>75</v>
      </c>
      <c r="E64" s="271" t="s">
        <v>79</v>
      </c>
      <c r="F64" s="287"/>
      <c r="G64" s="287"/>
      <c r="H64" s="272"/>
    </row>
    <row r="65" spans="2:20" x14ac:dyDescent="0.25">
      <c r="D65" s="91"/>
      <c r="E65" s="145">
        <v>150</v>
      </c>
      <c r="F65" s="145">
        <v>300</v>
      </c>
      <c r="G65" s="145">
        <v>400</v>
      </c>
      <c r="H65" s="146">
        <v>500</v>
      </c>
    </row>
    <row r="66" spans="2:20" x14ac:dyDescent="0.25">
      <c r="D66" s="93">
        <v>5</v>
      </c>
      <c r="E66" s="46">
        <f>H4</f>
        <v>24.317460317460313</v>
      </c>
      <c r="F66" s="46">
        <f>R4</f>
        <v>18.507936507936506</v>
      </c>
      <c r="G66" s="46">
        <f>H34</f>
        <v>16.380952380952394</v>
      </c>
      <c r="H66" s="10">
        <f>R34</f>
        <v>12.819047619047627</v>
      </c>
    </row>
    <row r="67" spans="2:20" x14ac:dyDescent="0.25">
      <c r="D67" s="93">
        <v>10</v>
      </c>
      <c r="E67" s="46">
        <f>H8</f>
        <v>26.222222222222218</v>
      </c>
      <c r="F67" s="46">
        <f>R8</f>
        <v>20.730158730158735</v>
      </c>
      <c r="G67" s="46">
        <f>H38</f>
        <v>19</v>
      </c>
      <c r="H67" s="10">
        <f>R38</f>
        <v>16.533333333333324</v>
      </c>
    </row>
    <row r="68" spans="2:20" x14ac:dyDescent="0.25">
      <c r="D68" s="93">
        <v>15</v>
      </c>
      <c r="E68" s="46">
        <f>H12</f>
        <v>31.93650793650794</v>
      </c>
      <c r="F68" s="46">
        <f>R12</f>
        <v>23.746031746031747</v>
      </c>
      <c r="G68" s="46">
        <f>H42</f>
        <v>21.38095238095238</v>
      </c>
      <c r="H68" s="10">
        <f>R42</f>
        <v>17.866666666666649</v>
      </c>
    </row>
    <row r="69" spans="2:20" x14ac:dyDescent="0.25">
      <c r="D69" s="93">
        <v>20</v>
      </c>
      <c r="E69" s="46">
        <f>H16</f>
        <v>34.476190476190474</v>
      </c>
      <c r="F69" s="46">
        <f>R16</f>
        <v>25.968253968253975</v>
      </c>
      <c r="G69" s="46">
        <f>H46</f>
        <v>22.333333333333329</v>
      </c>
      <c r="H69" s="10">
        <f>R46</f>
        <v>19.2</v>
      </c>
    </row>
    <row r="70" spans="2:20" x14ac:dyDescent="0.25">
      <c r="D70" s="93">
        <v>40</v>
      </c>
      <c r="E70" s="46">
        <f>H20</f>
        <v>40.825396825396808</v>
      </c>
      <c r="F70" s="46">
        <f>R20</f>
        <v>28.984126984126995</v>
      </c>
      <c r="G70" s="46">
        <f>H50</f>
        <v>25.547619047619051</v>
      </c>
      <c r="H70" s="10">
        <f>R50</f>
        <v>21.104761904761904</v>
      </c>
    </row>
    <row r="71" spans="2:20" x14ac:dyDescent="0.25">
      <c r="D71" s="93">
        <v>60</v>
      </c>
      <c r="E71" s="46">
        <f>H24</f>
        <v>44.634920634920618</v>
      </c>
      <c r="F71" s="46">
        <f>R24</f>
        <v>32.317460317460331</v>
      </c>
      <c r="G71" s="46">
        <f>H54</f>
        <v>27.333333333333343</v>
      </c>
      <c r="H71" s="10">
        <f>R54</f>
        <v>23.199999999999989</v>
      </c>
    </row>
    <row r="72" spans="2:20" x14ac:dyDescent="0.25">
      <c r="C72" s="184"/>
      <c r="D72" s="95">
        <v>120</v>
      </c>
      <c r="E72" s="47">
        <f>H28</f>
        <v>45.587301587301575</v>
      </c>
      <c r="F72" s="47">
        <f>R28</f>
        <v>32.634920634920647</v>
      </c>
      <c r="G72" s="47">
        <f>H54</f>
        <v>27.333333333333343</v>
      </c>
      <c r="H72" s="11">
        <f>R58</f>
        <v>23.580952380952375</v>
      </c>
    </row>
    <row r="78" spans="2:20" x14ac:dyDescent="0.25">
      <c r="B78" s="313" t="s">
        <v>85</v>
      </c>
      <c r="C78" s="314"/>
      <c r="D78" s="314"/>
      <c r="E78" s="314"/>
      <c r="F78" s="314"/>
      <c r="G78" s="314"/>
      <c r="H78" s="314"/>
      <c r="I78" s="314"/>
      <c r="J78" s="314"/>
      <c r="K78" s="314"/>
      <c r="L78" s="314"/>
      <c r="M78" s="314"/>
      <c r="N78" s="314"/>
      <c r="O78" s="314"/>
      <c r="P78" s="314"/>
      <c r="Q78" s="314"/>
      <c r="R78" s="314"/>
      <c r="S78" s="314"/>
      <c r="T78" s="315"/>
    </row>
    <row r="79" spans="2:20" x14ac:dyDescent="0.25">
      <c r="B79" s="165"/>
      <c r="C79" s="277" t="s">
        <v>103</v>
      </c>
      <c r="D79" s="288"/>
      <c r="E79" s="288"/>
      <c r="F79" s="288"/>
      <c r="G79" s="271" t="s">
        <v>104</v>
      </c>
      <c r="H79" s="287"/>
      <c r="I79" s="287"/>
      <c r="J79" s="272"/>
      <c r="K79" s="316" t="s">
        <v>86</v>
      </c>
      <c r="L79" s="311"/>
      <c r="M79" s="311"/>
      <c r="N79" s="311"/>
      <c r="O79" s="311"/>
      <c r="P79" s="273" t="s">
        <v>87</v>
      </c>
      <c r="Q79" s="279"/>
      <c r="R79" s="279"/>
      <c r="S79" s="279"/>
      <c r="T79" s="274"/>
    </row>
    <row r="80" spans="2:20" ht="18.75" x14ac:dyDescent="0.35">
      <c r="B80" s="165" t="s">
        <v>75</v>
      </c>
      <c r="C80" s="277" t="s">
        <v>80</v>
      </c>
      <c r="D80" s="288"/>
      <c r="E80" s="288"/>
      <c r="F80" s="278"/>
      <c r="G80" s="271" t="s">
        <v>81</v>
      </c>
      <c r="H80" s="287"/>
      <c r="I80" s="287"/>
      <c r="J80" s="272"/>
      <c r="K80" s="166" t="s">
        <v>82</v>
      </c>
      <c r="L80" s="311" t="s">
        <v>83</v>
      </c>
      <c r="M80" s="311"/>
      <c r="N80" s="311"/>
      <c r="O80" s="312"/>
      <c r="P80" s="164" t="s">
        <v>84</v>
      </c>
      <c r="Q80" s="279" t="s">
        <v>83</v>
      </c>
      <c r="R80" s="279"/>
      <c r="S80" s="279"/>
      <c r="T80" s="274"/>
    </row>
    <row r="81" spans="2:21" x14ac:dyDescent="0.25">
      <c r="B81" s="91"/>
      <c r="C81" s="187">
        <v>150</v>
      </c>
      <c r="D81" s="187">
        <v>300</v>
      </c>
      <c r="E81" s="187">
        <v>400</v>
      </c>
      <c r="F81" s="188">
        <v>500</v>
      </c>
      <c r="G81" s="145">
        <v>150</v>
      </c>
      <c r="H81" s="145">
        <v>300</v>
      </c>
      <c r="I81" s="145">
        <v>400</v>
      </c>
      <c r="J81" s="146">
        <v>500</v>
      </c>
      <c r="K81" s="192"/>
      <c r="L81" s="192">
        <v>150</v>
      </c>
      <c r="M81" s="192">
        <v>300</v>
      </c>
      <c r="N81" s="192">
        <v>400</v>
      </c>
      <c r="O81" s="192">
        <v>500</v>
      </c>
      <c r="P81" s="191"/>
      <c r="Q81" s="185">
        <v>150</v>
      </c>
      <c r="R81" s="185">
        <v>300</v>
      </c>
      <c r="S81" s="185">
        <v>400</v>
      </c>
      <c r="T81" s="186">
        <v>500</v>
      </c>
    </row>
    <row r="82" spans="2:21" x14ac:dyDescent="0.25">
      <c r="B82" s="93">
        <v>5</v>
      </c>
      <c r="C82" s="46">
        <f>LN(I24-I4)</f>
        <v>0.4212134650763032</v>
      </c>
      <c r="D82" s="46">
        <f>LN(S24-S4)</f>
        <v>0.72823850037121662</v>
      </c>
      <c r="E82" s="46">
        <f>LN(I54-I34)</f>
        <v>0.78411895876567173</v>
      </c>
      <c r="F82" s="10">
        <f>LN(S54-S34)</f>
        <v>0.9536782639457736</v>
      </c>
      <c r="G82" s="33">
        <f>C4/I4</f>
        <v>2.7415143603133165</v>
      </c>
      <c r="H82" s="34">
        <f>M4/S4</f>
        <v>1.8010291595197256</v>
      </c>
      <c r="I82" s="34">
        <f>C34/I34</f>
        <v>1.5261627906976731</v>
      </c>
      <c r="J82" s="35">
        <f>M34/S34</f>
        <v>1.5601783060921239</v>
      </c>
      <c r="K82" s="193">
        <f>B82^0.5</f>
        <v>2.2360679774997898</v>
      </c>
      <c r="L82" s="194">
        <f>I4</f>
        <v>1.8238095238095235</v>
      </c>
      <c r="M82" s="194">
        <f>S4</f>
        <v>2.7761904761904761</v>
      </c>
      <c r="N82" s="194">
        <f>I34</f>
        <v>3.2761904761904788</v>
      </c>
      <c r="O82" s="195">
        <f>S34</f>
        <v>3.2047619047619067</v>
      </c>
      <c r="P82" s="14">
        <f>LN(B82)</f>
        <v>1.6094379124341003</v>
      </c>
      <c r="Q82" s="49">
        <f>L82</f>
        <v>1.8238095238095235</v>
      </c>
      <c r="R82" s="49">
        <f>M82</f>
        <v>2.7761904761904761</v>
      </c>
      <c r="S82" s="49">
        <f>N82</f>
        <v>3.2761904761904788</v>
      </c>
      <c r="T82" s="17">
        <f>O82</f>
        <v>3.2047619047619067</v>
      </c>
      <c r="U82" s="1"/>
    </row>
    <row r="83" spans="2:21" x14ac:dyDescent="0.25">
      <c r="B83" s="93">
        <v>10</v>
      </c>
      <c r="C83" s="46">
        <f>LN(I24-I8)</f>
        <v>0.32277339226305052</v>
      </c>
      <c r="D83" s="46">
        <f>LN(S24-S8)</f>
        <v>0.55278982286502365</v>
      </c>
      <c r="E83" s="46">
        <f>LN(I54-I38)</f>
        <v>0.51082562376599161</v>
      </c>
      <c r="F83" s="10">
        <f>LN(S54-S38)</f>
        <v>0.51082562376598983</v>
      </c>
      <c r="G83" s="36">
        <f>C8/I8</f>
        <v>5.0847457627118651</v>
      </c>
      <c r="H83" s="37">
        <f>M8/S8</f>
        <v>3.2159264931087281</v>
      </c>
      <c r="I83" s="37">
        <f>C38/I38</f>
        <v>2.6315789473684208</v>
      </c>
      <c r="J83" s="38">
        <f>M38/S38</f>
        <v>2.4193548387096784</v>
      </c>
      <c r="K83" s="196">
        <f t="shared" ref="K83:K86" si="0">B83^0.5</f>
        <v>3.1622776601683795</v>
      </c>
      <c r="L83" s="197">
        <f>I8</f>
        <v>1.9666666666666666</v>
      </c>
      <c r="M83" s="197">
        <f>S8</f>
        <v>3.1095238095238105</v>
      </c>
      <c r="N83" s="197">
        <f>I38</f>
        <v>3.8000000000000003</v>
      </c>
      <c r="O83" s="198">
        <f>S38</f>
        <v>4.133333333333332</v>
      </c>
      <c r="P83" s="16">
        <f t="shared" ref="P83:P86" si="1">LN(B83)</f>
        <v>2.3025850929940459</v>
      </c>
      <c r="Q83" s="49">
        <f t="shared" ref="Q83:Q86" si="2">L83</f>
        <v>1.9666666666666666</v>
      </c>
      <c r="R83" s="49">
        <f t="shared" ref="R83:R86" si="3">M83</f>
        <v>3.1095238095238105</v>
      </c>
      <c r="S83" s="49">
        <f t="shared" ref="S83:S86" si="4">N83</f>
        <v>3.8000000000000003</v>
      </c>
      <c r="T83" s="17">
        <f t="shared" ref="T83:T86" si="5">O83</f>
        <v>4.133333333333332</v>
      </c>
      <c r="U83" s="1"/>
    </row>
    <row r="84" spans="2:21" x14ac:dyDescent="0.25">
      <c r="B84" s="93">
        <v>15</v>
      </c>
      <c r="C84" s="46">
        <f>LN(I24-I12)</f>
        <v>-4.8790164169433221E-2</v>
      </c>
      <c r="D84" s="46">
        <f>LN(S24-S12)</f>
        <v>0.25131442828090772</v>
      </c>
      <c r="E84" s="46">
        <f>LN(I54-I42)</f>
        <v>0.17435338714477941</v>
      </c>
      <c r="F84" s="10">
        <f>LN(S54-S42)</f>
        <v>0.28768207245178135</v>
      </c>
      <c r="G84" s="36">
        <f>C12/I12</f>
        <v>6.2624254473161027</v>
      </c>
      <c r="H84" s="37">
        <f>M12/S12</f>
        <v>4.2112299465240639</v>
      </c>
      <c r="I84" s="37">
        <f>C42/I42</f>
        <v>3.507795100222717</v>
      </c>
      <c r="J84" s="38">
        <f>M42/S42</f>
        <v>3.358208955223883</v>
      </c>
      <c r="K84" s="196">
        <f t="shared" si="0"/>
        <v>3.872983346207417</v>
      </c>
      <c r="L84" s="197">
        <f>I12</f>
        <v>2.3952380952380956</v>
      </c>
      <c r="M84" s="197">
        <f>S12</f>
        <v>3.5619047619047621</v>
      </c>
      <c r="N84" s="197">
        <f>I42</f>
        <v>4.2761904761904761</v>
      </c>
      <c r="O84" s="198">
        <f>S42</f>
        <v>4.4666666666666632</v>
      </c>
      <c r="P84" s="16">
        <f t="shared" si="1"/>
        <v>2.7080502011022101</v>
      </c>
      <c r="Q84" s="49">
        <f t="shared" si="2"/>
        <v>2.3952380952380956</v>
      </c>
      <c r="R84" s="49">
        <f t="shared" si="3"/>
        <v>3.5619047619047621</v>
      </c>
      <c r="S84" s="49">
        <f t="shared" si="4"/>
        <v>4.2761904761904761</v>
      </c>
      <c r="T84" s="17">
        <f t="shared" si="5"/>
        <v>4.4666666666666632</v>
      </c>
      <c r="U84" s="1"/>
    </row>
    <row r="85" spans="2:21" x14ac:dyDescent="0.25">
      <c r="B85" s="93">
        <v>20</v>
      </c>
      <c r="C85" s="46">
        <f>LN(I24-I16)</f>
        <v>-0.27193371548364242</v>
      </c>
      <c r="D85" s="46">
        <f>LN(S24-S16)</f>
        <v>-4.879016416943089E-2</v>
      </c>
      <c r="E85" s="46">
        <f>LN(I54-I46)</f>
        <v>2.6645352591003721E-15</v>
      </c>
      <c r="F85" s="10">
        <f>LN(S54-S46)</f>
        <v>-3.5527136788005072E-15</v>
      </c>
      <c r="G85" s="36">
        <f>C16/I16</f>
        <v>7.7348066298342548</v>
      </c>
      <c r="H85" s="37">
        <f>M16/S16</f>
        <v>5.13447432762836</v>
      </c>
      <c r="I85" s="37">
        <f>C46/I46</f>
        <v>4.477611940298508</v>
      </c>
      <c r="J85" s="38">
        <f>M46/S46</f>
        <v>4.1666666666666661</v>
      </c>
      <c r="K85" s="196">
        <f t="shared" si="0"/>
        <v>4.4721359549995796</v>
      </c>
      <c r="L85" s="197">
        <f>I16</f>
        <v>2.5857142857142854</v>
      </c>
      <c r="M85" s="197">
        <f>S16</f>
        <v>3.8952380952380965</v>
      </c>
      <c r="N85" s="197">
        <f>I46</f>
        <v>4.4666666666666659</v>
      </c>
      <c r="O85" s="198">
        <f>S46</f>
        <v>4.8000000000000007</v>
      </c>
      <c r="P85" s="16">
        <f t="shared" si="1"/>
        <v>2.9957322735539909</v>
      </c>
      <c r="Q85" s="49">
        <f t="shared" si="2"/>
        <v>2.5857142857142854</v>
      </c>
      <c r="R85" s="49">
        <f t="shared" si="3"/>
        <v>3.8952380952380965</v>
      </c>
      <c r="S85" s="49">
        <f t="shared" si="4"/>
        <v>4.4666666666666659</v>
      </c>
      <c r="T85" s="17">
        <f t="shared" si="5"/>
        <v>4.8000000000000007</v>
      </c>
      <c r="U85" s="1"/>
    </row>
    <row r="86" spans="2:21" x14ac:dyDescent="0.25">
      <c r="B86" s="95">
        <v>40</v>
      </c>
      <c r="C86" s="47">
        <f>LN(I24-I20)</f>
        <v>-1.2527629684953669</v>
      </c>
      <c r="D86" s="47">
        <f>LN(S24-S20)</f>
        <v>-0.69314718055994529</v>
      </c>
      <c r="E86" s="47">
        <f>LN(I54-I50)</f>
        <v>-1.0296194171811568</v>
      </c>
      <c r="F86" s="11">
        <f>LN(S54-S50)</f>
        <v>-0.64662716492505767</v>
      </c>
      <c r="G86" s="39">
        <f>C20/I20</f>
        <v>13.063763608087097</v>
      </c>
      <c r="H86" s="40">
        <f>M20/S20</f>
        <v>9.2004381161007611</v>
      </c>
      <c r="I86" s="40">
        <f>C50/I50</f>
        <v>7.8285181733457572</v>
      </c>
      <c r="J86" s="41">
        <f>M50/S50</f>
        <v>7.581227436823105</v>
      </c>
      <c r="K86" s="199">
        <f t="shared" si="0"/>
        <v>6.324555320336759</v>
      </c>
      <c r="L86" s="200">
        <f>I20</f>
        <v>3.0619047619047608</v>
      </c>
      <c r="M86" s="200">
        <f>S20</f>
        <v>4.3476190476190499</v>
      </c>
      <c r="N86" s="200">
        <f>I50</f>
        <v>5.1095238095238109</v>
      </c>
      <c r="O86" s="201">
        <f>S50</f>
        <v>5.2761904761904761</v>
      </c>
      <c r="P86" s="18">
        <f t="shared" si="1"/>
        <v>3.6888794541139363</v>
      </c>
      <c r="Q86" s="50">
        <f t="shared" si="2"/>
        <v>3.0619047619047608</v>
      </c>
      <c r="R86" s="50">
        <f t="shared" si="3"/>
        <v>4.3476190476190499</v>
      </c>
      <c r="S86" s="50">
        <f t="shared" si="4"/>
        <v>5.1095238095238109</v>
      </c>
      <c r="T86" s="19">
        <f t="shared" si="5"/>
        <v>5.2761904761904761</v>
      </c>
      <c r="U86" s="1"/>
    </row>
    <row r="99" spans="2:6" x14ac:dyDescent="0.25">
      <c r="B99" s="1"/>
      <c r="C99" s="1"/>
      <c r="D99" s="1"/>
      <c r="E99" s="1"/>
      <c r="F99" s="1"/>
    </row>
    <row r="100" spans="2:6" x14ac:dyDescent="0.25">
      <c r="B100" s="1"/>
      <c r="C100" s="1"/>
      <c r="D100" s="1"/>
      <c r="E100" s="1"/>
      <c r="F100" s="1"/>
    </row>
    <row r="101" spans="2:6" x14ac:dyDescent="0.25">
      <c r="B101" s="1"/>
      <c r="C101" s="1"/>
    </row>
    <row r="102" spans="2:6" x14ac:dyDescent="0.25">
      <c r="B102" s="1"/>
      <c r="C102" s="1"/>
    </row>
    <row r="103" spans="2:6" x14ac:dyDescent="0.25">
      <c r="B103" s="1"/>
      <c r="C103" s="1"/>
    </row>
    <row r="104" spans="2:6" x14ac:dyDescent="0.25">
      <c r="B104" s="1"/>
      <c r="C104" s="1"/>
    </row>
    <row r="105" spans="2:6" x14ac:dyDescent="0.25">
      <c r="B105" s="1"/>
      <c r="C105" s="1"/>
    </row>
    <row r="106" spans="2:6" x14ac:dyDescent="0.25">
      <c r="B106" s="1"/>
      <c r="C106" s="1"/>
    </row>
    <row r="107" spans="2:6" x14ac:dyDescent="0.25">
      <c r="B107" s="1"/>
      <c r="C107" s="1"/>
    </row>
    <row r="108" spans="2:6" x14ac:dyDescent="0.25">
      <c r="B108" s="1"/>
      <c r="C108" s="1"/>
    </row>
    <row r="109" spans="2:6" x14ac:dyDescent="0.25">
      <c r="B109" s="1"/>
      <c r="C109" s="1"/>
    </row>
    <row r="110" spans="2:6" x14ac:dyDescent="0.25">
      <c r="B110" s="1"/>
      <c r="C110" s="1"/>
    </row>
    <row r="111" spans="2:6" x14ac:dyDescent="0.25">
      <c r="C111" s="1"/>
    </row>
    <row r="112" spans="2:6" x14ac:dyDescent="0.25">
      <c r="C112" s="1"/>
    </row>
    <row r="113" spans="2:23" x14ac:dyDescent="0.25">
      <c r="C113" s="1"/>
    </row>
    <row r="114" spans="2:23" x14ac:dyDescent="0.25">
      <c r="B114" s="1"/>
      <c r="C114" s="1"/>
    </row>
    <row r="115" spans="2:23" x14ac:dyDescent="0.25">
      <c r="C115" s="1"/>
    </row>
    <row r="116" spans="2:23" x14ac:dyDescent="0.25">
      <c r="C116" s="1"/>
    </row>
    <row r="117" spans="2:23" x14ac:dyDescent="0.25">
      <c r="C117" s="1"/>
    </row>
    <row r="118" spans="2:23" x14ac:dyDescent="0.25">
      <c r="B118" s="1"/>
      <c r="C118" s="1"/>
    </row>
    <row r="119" spans="2:23" x14ac:dyDescent="0.25">
      <c r="B119" s="67" t="s">
        <v>42</v>
      </c>
      <c r="C119" s="269" t="s">
        <v>106</v>
      </c>
      <c r="D119" s="280"/>
      <c r="E119" s="280"/>
      <c r="F119" s="280"/>
      <c r="G119" s="270"/>
      <c r="H119" s="271" t="s">
        <v>105</v>
      </c>
      <c r="I119" s="287"/>
      <c r="J119" s="287"/>
      <c r="K119" s="287"/>
      <c r="L119" s="287"/>
      <c r="M119" s="272"/>
      <c r="N119" s="307" t="s">
        <v>88</v>
      </c>
      <c r="O119" s="308"/>
      <c r="P119" s="308"/>
      <c r="Q119" s="309"/>
      <c r="R119" s="310" t="s">
        <v>97</v>
      </c>
      <c r="S119" s="275"/>
      <c r="T119" s="275"/>
      <c r="U119" s="275"/>
      <c r="V119" s="275"/>
      <c r="W119" s="276"/>
    </row>
    <row r="120" spans="2:23" ht="18.75" x14ac:dyDescent="0.35">
      <c r="B120" s="69"/>
      <c r="C120" s="177" t="s">
        <v>89</v>
      </c>
      <c r="D120" s="178" t="s">
        <v>90</v>
      </c>
      <c r="E120" s="178" t="s">
        <v>44</v>
      </c>
      <c r="F120" s="178" t="s">
        <v>91</v>
      </c>
      <c r="G120" s="179"/>
      <c r="H120" s="172" t="s">
        <v>92</v>
      </c>
      <c r="I120" s="172" t="s">
        <v>44</v>
      </c>
      <c r="J120" s="172" t="s">
        <v>93</v>
      </c>
      <c r="K120" s="172" t="s">
        <v>94</v>
      </c>
      <c r="L120" s="172" t="s">
        <v>91</v>
      </c>
      <c r="M120" s="173"/>
      <c r="N120" s="174" t="s">
        <v>98</v>
      </c>
      <c r="O120" s="175" t="s">
        <v>110</v>
      </c>
      <c r="P120" s="175" t="s">
        <v>91</v>
      </c>
      <c r="Q120" s="176"/>
      <c r="R120" s="180" t="s">
        <v>95</v>
      </c>
      <c r="S120" s="180" t="s">
        <v>99</v>
      </c>
      <c r="T120" s="180" t="s">
        <v>96</v>
      </c>
      <c r="U120" s="180" t="s">
        <v>100</v>
      </c>
      <c r="V120" s="180" t="s">
        <v>91</v>
      </c>
      <c r="W120" s="181"/>
    </row>
    <row r="121" spans="2:23" x14ac:dyDescent="0.25">
      <c r="B121" s="130">
        <v>150</v>
      </c>
      <c r="C121" s="183">
        <v>4.9399999999999999E-2</v>
      </c>
      <c r="D121" s="29">
        <v>0.71740000000000004</v>
      </c>
      <c r="E121" s="29">
        <f>EXP(D121)</f>
        <v>2.0490986222662557</v>
      </c>
      <c r="F121" s="29">
        <v>0.99219999999999997</v>
      </c>
      <c r="G121" s="76"/>
      <c r="H121" s="37">
        <v>0.29480000000000001</v>
      </c>
      <c r="I121" s="189">
        <f>1/H121</f>
        <v>3.3921302578018997</v>
      </c>
      <c r="J121" s="37">
        <v>2.08</v>
      </c>
      <c r="K121" s="37">
        <f>1/(J121*I121*I121)</f>
        <v>4.1782230769230759E-2</v>
      </c>
      <c r="L121" s="37">
        <v>0.99039999999999995</v>
      </c>
      <c r="M121" s="63"/>
      <c r="N121" s="16">
        <v>0.31940000000000002</v>
      </c>
      <c r="O121" s="49">
        <v>0.94679999999999997</v>
      </c>
      <c r="P121" s="49">
        <v>0.96650000000000003</v>
      </c>
      <c r="Q121" s="74"/>
      <c r="R121" s="111">
        <v>0.62849999999999995</v>
      </c>
      <c r="S121" s="111">
        <f>1/R121</f>
        <v>1.5910898965791569</v>
      </c>
      <c r="T121" s="111">
        <v>0.55630000000000002</v>
      </c>
      <c r="U121" s="111">
        <f>(EXP(T121*S121))/S121</f>
        <v>1.5230334829170897</v>
      </c>
      <c r="V121" s="111">
        <v>0.95209999999999995</v>
      </c>
      <c r="W121" s="202"/>
    </row>
    <row r="122" spans="2:23" x14ac:dyDescent="0.25">
      <c r="B122" s="130">
        <v>300</v>
      </c>
      <c r="C122" s="183">
        <v>4.1099999999999998E-2</v>
      </c>
      <c r="D122" s="29">
        <v>0.89759999999999995</v>
      </c>
      <c r="E122" s="29">
        <f t="shared" ref="E122:E124" si="6">EXP(D122)</f>
        <v>2.4537071416836058</v>
      </c>
      <c r="F122" s="29">
        <v>0.98019999999999996</v>
      </c>
      <c r="G122" s="76"/>
      <c r="H122" s="37">
        <v>0.2155</v>
      </c>
      <c r="I122" s="189">
        <f t="shared" ref="I122:I124" si="7">1/H122</f>
        <v>4.6403712296983759</v>
      </c>
      <c r="J122" s="37">
        <v>1.1202000000000001</v>
      </c>
      <c r="K122" s="37">
        <f t="shared" ref="K122:K124" si="8">1/(J122*I122*I122)</f>
        <v>4.1457105873951079E-2</v>
      </c>
      <c r="L122" s="37">
        <v>0.99670000000000003</v>
      </c>
      <c r="M122" s="63"/>
      <c r="N122" s="16">
        <v>0.3967</v>
      </c>
      <c r="O122" s="49">
        <v>1.7318</v>
      </c>
      <c r="P122" s="49">
        <v>0.96120000000000005</v>
      </c>
      <c r="Q122" s="74"/>
      <c r="R122" s="111">
        <v>0.79310000000000003</v>
      </c>
      <c r="S122" s="111">
        <f t="shared" ref="S122:S124" si="9">1/R122</f>
        <v>1.2608750472828143</v>
      </c>
      <c r="T122" s="111">
        <v>1.2133</v>
      </c>
      <c r="U122" s="111">
        <f t="shared" ref="U122:U124" si="10">(EXP(T122*S122))/S122</f>
        <v>3.6620156980134797</v>
      </c>
      <c r="V122" s="111">
        <v>0.97760000000000002</v>
      </c>
      <c r="W122" s="202"/>
    </row>
    <row r="123" spans="2:23" x14ac:dyDescent="0.25">
      <c r="B123" s="130">
        <v>400</v>
      </c>
      <c r="C123" s="183">
        <v>5.1400000000000001E-2</v>
      </c>
      <c r="D123" s="29">
        <v>1.0168999999999999</v>
      </c>
      <c r="E123" s="29">
        <f t="shared" si="6"/>
        <v>2.7646111716381396</v>
      </c>
      <c r="F123" s="29">
        <v>0.99819999999999998</v>
      </c>
      <c r="G123" s="76"/>
      <c r="H123" s="37">
        <v>0.1842</v>
      </c>
      <c r="I123" s="189">
        <f t="shared" si="7"/>
        <v>5.4288816503800215</v>
      </c>
      <c r="J123" s="37">
        <v>0.88600000000000001</v>
      </c>
      <c r="K123" s="37">
        <f t="shared" si="8"/>
        <v>3.8295304740406329E-2</v>
      </c>
      <c r="L123" s="37">
        <v>0.99750000000000005</v>
      </c>
      <c r="M123" s="63"/>
      <c r="N123" s="16">
        <v>0.44419999999999998</v>
      </c>
      <c r="O123" s="49">
        <v>2.1840000000000002</v>
      </c>
      <c r="P123" s="49">
        <v>0.97519999999999996</v>
      </c>
      <c r="Q123" s="74"/>
      <c r="R123" s="111">
        <v>0.89039999999999997</v>
      </c>
      <c r="S123" s="111">
        <f t="shared" si="9"/>
        <v>1.1230907457322552</v>
      </c>
      <c r="T123" s="111">
        <v>1.5973999999999999</v>
      </c>
      <c r="U123" s="111">
        <f t="shared" si="10"/>
        <v>5.3545179341412599</v>
      </c>
      <c r="V123" s="111">
        <v>0.99690000000000001</v>
      </c>
      <c r="W123" s="202"/>
    </row>
    <row r="124" spans="2:23" x14ac:dyDescent="0.25">
      <c r="B124" s="131">
        <v>500</v>
      </c>
      <c r="C124" s="182">
        <v>4.3299999999999998E-2</v>
      </c>
      <c r="D124" s="30">
        <v>0.99960000000000004</v>
      </c>
      <c r="E124" s="30">
        <f t="shared" si="6"/>
        <v>2.7171947331612158</v>
      </c>
      <c r="F124" s="30">
        <v>0.95699999999999996</v>
      </c>
      <c r="G124" s="77"/>
      <c r="H124" s="40">
        <v>0.17180000000000001</v>
      </c>
      <c r="I124" s="190">
        <f t="shared" si="7"/>
        <v>5.8207217694994178</v>
      </c>
      <c r="J124" s="40">
        <v>0.72489999999999999</v>
      </c>
      <c r="K124" s="40">
        <f t="shared" si="8"/>
        <v>4.0716291902331357E-2</v>
      </c>
      <c r="L124" s="40">
        <v>0.99980000000000002</v>
      </c>
      <c r="M124" s="65"/>
      <c r="N124" s="18">
        <v>0.48130000000000001</v>
      </c>
      <c r="O124" s="50">
        <v>2.4445000000000001</v>
      </c>
      <c r="P124" s="50">
        <v>0.90159999999999996</v>
      </c>
      <c r="Q124" s="75"/>
      <c r="R124" s="114">
        <v>0.99380000000000002</v>
      </c>
      <c r="S124" s="114">
        <f t="shared" si="9"/>
        <v>1.0062386798148522</v>
      </c>
      <c r="T124" s="114">
        <v>1.7318</v>
      </c>
      <c r="U124" s="114">
        <f t="shared" si="10"/>
        <v>5.6767838336114034</v>
      </c>
      <c r="V124" s="114">
        <v>0.97789999999999999</v>
      </c>
      <c r="W124" s="203"/>
    </row>
    <row r="126" spans="2:23" x14ac:dyDescent="0.25">
      <c r="B126" s="208"/>
      <c r="C126" s="304" t="s">
        <v>103</v>
      </c>
      <c r="D126" s="304"/>
      <c r="E126" s="305"/>
      <c r="F126" s="306" t="s">
        <v>107</v>
      </c>
      <c r="G126" s="304"/>
      <c r="H126" s="305"/>
      <c r="I126" s="306" t="s">
        <v>86</v>
      </c>
      <c r="J126" s="304"/>
      <c r="K126" s="305"/>
      <c r="L126" s="306" t="s">
        <v>111</v>
      </c>
      <c r="M126" s="304"/>
      <c r="N126" s="305"/>
    </row>
    <row r="127" spans="2:23" ht="18" x14ac:dyDescent="0.35">
      <c r="B127" s="209"/>
      <c r="C127" s="212" t="s">
        <v>108</v>
      </c>
      <c r="D127" s="213" t="s">
        <v>109</v>
      </c>
      <c r="E127" s="214"/>
      <c r="F127" s="213" t="s">
        <v>108</v>
      </c>
      <c r="G127" s="213" t="s">
        <v>109</v>
      </c>
      <c r="H127" s="214"/>
      <c r="I127" s="213" t="s">
        <v>108</v>
      </c>
      <c r="J127" s="213" t="s">
        <v>113</v>
      </c>
      <c r="K127" s="214"/>
      <c r="L127" s="213" t="s">
        <v>108</v>
      </c>
      <c r="M127" s="213" t="s">
        <v>112</v>
      </c>
      <c r="N127" s="214"/>
    </row>
    <row r="128" spans="2:23" x14ac:dyDescent="0.25">
      <c r="B128" s="210">
        <v>150</v>
      </c>
      <c r="C128" s="204">
        <f>I24</f>
        <v>3.3476190476190468</v>
      </c>
      <c r="D128" s="204">
        <f>E121</f>
        <v>2.0490986222662557</v>
      </c>
      <c r="E128" s="205"/>
      <c r="F128" s="1">
        <f>C128</f>
        <v>3.3476190476190468</v>
      </c>
      <c r="G128" s="1">
        <f>I121</f>
        <v>3.3921302578018997</v>
      </c>
      <c r="H128" s="205"/>
      <c r="I128" s="1">
        <f>C128</f>
        <v>3.3476190476190468</v>
      </c>
      <c r="J128" s="1">
        <f>O121</f>
        <v>0.94679999999999997</v>
      </c>
      <c r="K128" s="205"/>
      <c r="L128" s="1">
        <f>F128</f>
        <v>3.3476190476190468</v>
      </c>
      <c r="M128" s="1">
        <f>R121</f>
        <v>0.62849999999999995</v>
      </c>
      <c r="N128" s="205"/>
    </row>
    <row r="129" spans="2:14" x14ac:dyDescent="0.25">
      <c r="B129" s="210">
        <v>300</v>
      </c>
      <c r="C129" s="204">
        <f>S24</f>
        <v>4.8476190476190499</v>
      </c>
      <c r="D129" s="204">
        <f>E122</f>
        <v>2.4537071416836058</v>
      </c>
      <c r="E129" s="205"/>
      <c r="F129" s="1">
        <f>C129</f>
        <v>4.8476190476190499</v>
      </c>
      <c r="G129" s="1">
        <f>I122</f>
        <v>4.6403712296983759</v>
      </c>
      <c r="H129" s="205"/>
      <c r="I129" s="1">
        <f t="shared" ref="I129:I131" si="11">C129</f>
        <v>4.8476190476190499</v>
      </c>
      <c r="J129" s="1">
        <f t="shared" ref="J129:J131" si="12">O122</f>
        <v>1.7318</v>
      </c>
      <c r="K129" s="205"/>
      <c r="L129" s="1">
        <f t="shared" ref="L129:L131" si="13">F129</f>
        <v>4.8476190476190499</v>
      </c>
      <c r="M129" s="1">
        <f t="shared" ref="M129:M131" si="14">R122</f>
        <v>0.79310000000000003</v>
      </c>
      <c r="N129" s="205"/>
    </row>
    <row r="130" spans="2:14" x14ac:dyDescent="0.25">
      <c r="B130" s="210">
        <v>400</v>
      </c>
      <c r="C130" s="204">
        <f>I54</f>
        <v>5.4666666666666686</v>
      </c>
      <c r="D130" s="204">
        <f>E123</f>
        <v>2.7646111716381396</v>
      </c>
      <c r="E130" s="205"/>
      <c r="F130" s="1">
        <f>C130</f>
        <v>5.4666666666666686</v>
      </c>
      <c r="G130" s="1">
        <f>I123</f>
        <v>5.4288816503800215</v>
      </c>
      <c r="H130" s="205"/>
      <c r="I130" s="1">
        <f t="shared" si="11"/>
        <v>5.4666666666666686</v>
      </c>
      <c r="J130" s="1">
        <f t="shared" si="12"/>
        <v>2.1840000000000002</v>
      </c>
      <c r="K130" s="205"/>
      <c r="L130" s="1">
        <f t="shared" si="13"/>
        <v>5.4666666666666686</v>
      </c>
      <c r="M130" s="1">
        <f t="shared" si="14"/>
        <v>0.89039999999999997</v>
      </c>
      <c r="N130" s="205"/>
    </row>
    <row r="131" spans="2:14" x14ac:dyDescent="0.25">
      <c r="B131" s="211">
        <v>500</v>
      </c>
      <c r="C131" s="206">
        <f>S54</f>
        <v>5.7999999999999972</v>
      </c>
      <c r="D131" s="206">
        <f>E124</f>
        <v>2.7171947331612158</v>
      </c>
      <c r="E131" s="207"/>
      <c r="F131" s="206">
        <f>C131</f>
        <v>5.7999999999999972</v>
      </c>
      <c r="G131" s="206">
        <f>I124</f>
        <v>5.8207217694994178</v>
      </c>
      <c r="H131" s="207"/>
      <c r="I131" s="206">
        <f t="shared" si="11"/>
        <v>5.7999999999999972</v>
      </c>
      <c r="J131" s="206">
        <f t="shared" si="12"/>
        <v>2.4445000000000001</v>
      </c>
      <c r="K131" s="207"/>
      <c r="L131" s="206">
        <f t="shared" si="13"/>
        <v>5.7999999999999972</v>
      </c>
      <c r="M131" s="206">
        <f t="shared" si="14"/>
        <v>0.99380000000000002</v>
      </c>
      <c r="N131" s="207"/>
    </row>
    <row r="132" spans="2:14" x14ac:dyDescent="0.25">
      <c r="B132" s="1"/>
      <c r="C132" s="1"/>
    </row>
    <row r="135" spans="2:14" x14ac:dyDescent="0.25">
      <c r="C135" s="233"/>
      <c r="D135" s="233"/>
      <c r="E135" s="228"/>
      <c r="F135" s="233"/>
    </row>
    <row r="136" spans="2:14" x14ac:dyDescent="0.25">
      <c r="C136" s="230"/>
      <c r="D136" s="233"/>
      <c r="E136" s="228"/>
      <c r="F136" s="233"/>
    </row>
    <row r="137" spans="2:14" x14ac:dyDescent="0.25">
      <c r="B137" s="1"/>
      <c r="C137" s="230"/>
      <c r="D137" s="233"/>
      <c r="E137" s="233"/>
      <c r="F137" s="233"/>
    </row>
    <row r="138" spans="2:14" x14ac:dyDescent="0.25">
      <c r="B138" s="1"/>
      <c r="C138" s="230"/>
      <c r="D138" s="233"/>
      <c r="E138" s="233"/>
      <c r="F138" s="233"/>
    </row>
    <row r="139" spans="2:14" x14ac:dyDescent="0.25">
      <c r="B139" s="1"/>
      <c r="C139" s="230"/>
      <c r="D139" s="233"/>
      <c r="E139" s="233"/>
      <c r="F139" s="233"/>
    </row>
    <row r="140" spans="2:14" x14ac:dyDescent="0.25">
      <c r="B140" s="1"/>
      <c r="C140" s="230"/>
      <c r="D140" s="233"/>
      <c r="E140" s="233"/>
      <c r="F140" s="233"/>
    </row>
    <row r="141" spans="2:14" x14ac:dyDescent="0.25">
      <c r="B141" s="1"/>
      <c r="C141" s="1"/>
    </row>
    <row r="142" spans="2:14" x14ac:dyDescent="0.25">
      <c r="B142" s="1"/>
      <c r="C142" s="1"/>
    </row>
  </sheetData>
  <mergeCells count="18">
    <mergeCell ref="R119:W119"/>
    <mergeCell ref="E64:H64"/>
    <mergeCell ref="C80:F80"/>
    <mergeCell ref="G80:J80"/>
    <mergeCell ref="L80:O80"/>
    <mergeCell ref="Q80:T80"/>
    <mergeCell ref="B78:T78"/>
    <mergeCell ref="C79:F79"/>
    <mergeCell ref="G79:J79"/>
    <mergeCell ref="K79:O79"/>
    <mergeCell ref="P79:T79"/>
    <mergeCell ref="C126:E126"/>
    <mergeCell ref="F126:H126"/>
    <mergeCell ref="I126:K126"/>
    <mergeCell ref="L126:N126"/>
    <mergeCell ref="N119:Q119"/>
    <mergeCell ref="H119:M119"/>
    <mergeCell ref="C119:G1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60"/>
  <sheetViews>
    <sheetView tabSelected="1" topLeftCell="A139" zoomScaleNormal="100" workbookViewId="0">
      <selection activeCell="M62" sqref="M62"/>
    </sheetView>
  </sheetViews>
  <sheetFormatPr defaultRowHeight="15" x14ac:dyDescent="0.25"/>
  <cols>
    <col min="12" max="12" width="10.28515625" customWidth="1"/>
    <col min="13" max="13" width="24.28515625" customWidth="1"/>
    <col min="14" max="14" width="13.140625" customWidth="1"/>
    <col min="15" max="15" width="19.140625" customWidth="1"/>
    <col min="16" max="16" width="14.140625" customWidth="1"/>
    <col min="17" max="17" width="11.140625" customWidth="1"/>
    <col min="19" max="19" width="15.5703125" customWidth="1"/>
    <col min="20" max="20" width="17" customWidth="1"/>
  </cols>
  <sheetData>
    <row r="3" spans="1:20" x14ac:dyDescent="0.25">
      <c r="T3" s="1"/>
    </row>
    <row r="4" spans="1:20" ht="18" x14ac:dyDescent="0.35">
      <c r="A4" s="228"/>
      <c r="B4" s="233"/>
      <c r="C4" s="59" t="s">
        <v>29</v>
      </c>
      <c r="D4" s="258" t="s">
        <v>75</v>
      </c>
      <c r="E4" s="258" t="s">
        <v>30</v>
      </c>
      <c r="F4" s="258" t="s">
        <v>32</v>
      </c>
      <c r="G4" s="258" t="s">
        <v>31</v>
      </c>
      <c r="H4" s="258" t="s">
        <v>43</v>
      </c>
      <c r="I4" s="258" t="s">
        <v>34</v>
      </c>
      <c r="J4" s="255" t="s">
        <v>77</v>
      </c>
      <c r="T4" s="1"/>
    </row>
    <row r="5" spans="1:20" x14ac:dyDescent="0.25">
      <c r="A5" s="228"/>
      <c r="B5" s="233"/>
      <c r="C5" s="60" t="s">
        <v>35</v>
      </c>
      <c r="D5" s="29">
        <v>5</v>
      </c>
      <c r="E5" s="29">
        <v>8.7999999999999995E-2</v>
      </c>
      <c r="F5" s="29">
        <f>AVERAGE(E5:E7)</f>
        <v>8.7666666666666671E-2</v>
      </c>
      <c r="G5" s="29">
        <f>_xlfn.STDEV.S(E5:E7)</f>
        <v>5.7735026918962634E-4</v>
      </c>
      <c r="H5" s="29">
        <f>(F5-0.0062)/0.0007</f>
        <v>116.38095238095239</v>
      </c>
      <c r="I5" s="29">
        <f>((150-H5)/150)*100</f>
        <v>22.412698412698404</v>
      </c>
      <c r="J5" s="252">
        <f>((150-H5)/1)*0.05</f>
        <v>1.6809523809523803</v>
      </c>
      <c r="T5" s="1"/>
    </row>
    <row r="6" spans="1:20" x14ac:dyDescent="0.25">
      <c r="A6" s="228"/>
      <c r="B6" s="233"/>
      <c r="C6" s="60" t="s">
        <v>76</v>
      </c>
      <c r="D6" s="29"/>
      <c r="E6" s="29">
        <v>8.7999999999999995E-2</v>
      </c>
      <c r="F6" s="29"/>
      <c r="G6" s="29"/>
      <c r="H6" s="29"/>
      <c r="I6" s="29"/>
      <c r="J6" s="252"/>
      <c r="T6" s="1"/>
    </row>
    <row r="7" spans="1:20" x14ac:dyDescent="0.25">
      <c r="A7" s="228"/>
      <c r="B7" s="233"/>
      <c r="C7" s="60"/>
      <c r="D7" s="30"/>
      <c r="E7" s="30">
        <v>8.6999999999999994E-2</v>
      </c>
      <c r="F7" s="30"/>
      <c r="G7" s="30"/>
      <c r="H7" s="30"/>
      <c r="I7" s="30"/>
      <c r="J7" s="251"/>
      <c r="T7" s="1"/>
    </row>
    <row r="8" spans="1:20" x14ac:dyDescent="0.25">
      <c r="A8" s="233"/>
      <c r="B8" s="233"/>
      <c r="C8" s="60"/>
      <c r="D8" s="29"/>
      <c r="E8" s="161"/>
      <c r="F8" s="29"/>
      <c r="G8" s="29"/>
      <c r="H8" s="29"/>
      <c r="I8" s="29"/>
      <c r="J8" s="252"/>
    </row>
    <row r="9" spans="1:20" x14ac:dyDescent="0.25">
      <c r="A9" s="228"/>
      <c r="B9" s="233"/>
      <c r="C9" s="60"/>
      <c r="D9" s="29">
        <v>10</v>
      </c>
      <c r="E9" s="29">
        <v>8.5000000000000006E-2</v>
      </c>
      <c r="F9" s="29">
        <f>AVERAGE(E9:E11)</f>
        <v>8.5666666666666669E-2</v>
      </c>
      <c r="G9" s="29">
        <f>_xlfn.STDEV.S(E9:E11)</f>
        <v>1.1547005383792447E-3</v>
      </c>
      <c r="H9" s="29">
        <f>(F9-0.0062)/0.0007</f>
        <v>113.52380952380953</v>
      </c>
      <c r="I9" s="29">
        <f>((150-H9)/150)*100</f>
        <v>24.317460317460313</v>
      </c>
      <c r="J9" s="252">
        <f>((150-H9)/1)*0.05</f>
        <v>1.8238095238095235</v>
      </c>
    </row>
    <row r="10" spans="1:20" x14ac:dyDescent="0.25">
      <c r="A10" s="228"/>
      <c r="B10" s="233"/>
      <c r="C10" s="60"/>
      <c r="D10" s="29"/>
      <c r="E10" s="29">
        <v>8.5000000000000006E-2</v>
      </c>
      <c r="F10" s="29"/>
      <c r="G10" s="29"/>
      <c r="H10" s="29"/>
      <c r="I10" s="29"/>
      <c r="J10" s="252"/>
    </row>
    <row r="11" spans="1:20" x14ac:dyDescent="0.25">
      <c r="A11" s="228"/>
      <c r="B11" s="233"/>
      <c r="C11" s="60"/>
      <c r="D11" s="30"/>
      <c r="E11" s="30">
        <v>8.6999999999999994E-2</v>
      </c>
      <c r="F11" s="30"/>
      <c r="G11" s="30"/>
      <c r="H11" s="30"/>
      <c r="I11" s="30"/>
      <c r="J11" s="251"/>
    </row>
    <row r="12" spans="1:20" x14ac:dyDescent="0.25">
      <c r="A12" s="228"/>
      <c r="B12" s="233"/>
      <c r="C12" s="60"/>
      <c r="D12" s="29"/>
      <c r="E12" s="29"/>
      <c r="F12" s="29"/>
      <c r="G12" s="29"/>
      <c r="H12" s="29"/>
      <c r="I12" s="29"/>
      <c r="J12" s="252"/>
    </row>
    <row r="13" spans="1:20" x14ac:dyDescent="0.25">
      <c r="A13" s="228"/>
      <c r="B13" s="233"/>
      <c r="C13" s="60"/>
      <c r="D13" s="29">
        <v>15</v>
      </c>
      <c r="E13" s="29">
        <v>0.08</v>
      </c>
      <c r="F13" s="29">
        <f>AVERAGE(E13:E15)</f>
        <v>7.9666666666666663E-2</v>
      </c>
      <c r="G13" s="29">
        <f>_xlfn.STDEV.S(E13:E15)</f>
        <v>5.7735026918962634E-4</v>
      </c>
      <c r="H13" s="29">
        <f>(F13-0.0062)/0.0007</f>
        <v>104.95238095238095</v>
      </c>
      <c r="I13" s="29">
        <f>((150-H13)/150)*100</f>
        <v>30.031746031746032</v>
      </c>
      <c r="J13" s="252">
        <f>((150-H13)/1)*0.05</f>
        <v>2.2523809523809528</v>
      </c>
    </row>
    <row r="14" spans="1:20" x14ac:dyDescent="0.25">
      <c r="A14" s="228"/>
      <c r="B14" s="233"/>
      <c r="C14" s="60"/>
      <c r="D14" s="29"/>
      <c r="E14" s="29">
        <v>7.9000000000000001E-2</v>
      </c>
      <c r="F14" s="29"/>
      <c r="G14" s="29"/>
      <c r="H14" s="29"/>
      <c r="I14" s="29"/>
      <c r="J14" s="252"/>
    </row>
    <row r="15" spans="1:20" x14ac:dyDescent="0.25">
      <c r="A15" s="228"/>
      <c r="B15" s="233"/>
      <c r="C15" s="60"/>
      <c r="D15" s="30"/>
      <c r="E15" s="30">
        <v>0.08</v>
      </c>
      <c r="F15" s="30"/>
      <c r="G15" s="30"/>
      <c r="H15" s="30"/>
      <c r="I15" s="30"/>
      <c r="J15" s="251"/>
    </row>
    <row r="16" spans="1:20" x14ac:dyDescent="0.25">
      <c r="A16" s="228"/>
      <c r="B16" s="233"/>
      <c r="C16" s="60"/>
      <c r="D16" s="29"/>
      <c r="E16" s="29"/>
      <c r="F16" s="29"/>
      <c r="G16" s="29"/>
      <c r="H16" s="29"/>
      <c r="I16" s="29"/>
      <c r="J16" s="252"/>
    </row>
    <row r="17" spans="1:20" x14ac:dyDescent="0.25">
      <c r="A17" s="228"/>
      <c r="B17" s="233"/>
      <c r="C17" s="60"/>
      <c r="D17" s="29">
        <v>20</v>
      </c>
      <c r="E17" s="29">
        <v>7.9000000000000001E-2</v>
      </c>
      <c r="F17" s="29">
        <f>AVERAGE(E17:E19)</f>
        <v>7.6666666666666661E-2</v>
      </c>
      <c r="G17" s="29">
        <f>_xlfn.STDEV.S(E17:E19)</f>
        <v>2.0816659994661348E-3</v>
      </c>
      <c r="H17" s="29">
        <f>(F17-0.0062)/0.0007</f>
        <v>100.66666666666666</v>
      </c>
      <c r="I17" s="29">
        <f>((150-H17)/150)*100</f>
        <v>32.888888888888893</v>
      </c>
      <c r="J17" s="252">
        <f>((150-H17)/1)*0.05</f>
        <v>2.4666666666666672</v>
      </c>
    </row>
    <row r="18" spans="1:20" x14ac:dyDescent="0.25">
      <c r="A18" s="228"/>
      <c r="B18" s="233"/>
      <c r="C18" s="60"/>
      <c r="D18" s="29"/>
      <c r="E18" s="29">
        <v>7.5999999999999998E-2</v>
      </c>
      <c r="F18" s="29"/>
      <c r="G18" s="29"/>
      <c r="H18" s="29"/>
      <c r="I18" s="29"/>
      <c r="J18" s="252"/>
    </row>
    <row r="19" spans="1:20" x14ac:dyDescent="0.25">
      <c r="A19" s="228"/>
      <c r="B19" s="233"/>
      <c r="C19" s="60"/>
      <c r="D19" s="30"/>
      <c r="E19" s="30">
        <v>7.4999999999999997E-2</v>
      </c>
      <c r="F19" s="30"/>
      <c r="G19" s="30"/>
      <c r="H19" s="30"/>
      <c r="I19" s="30"/>
      <c r="J19" s="251"/>
    </row>
    <row r="20" spans="1:20" x14ac:dyDescent="0.25">
      <c r="A20" s="228"/>
      <c r="B20" s="233"/>
      <c r="C20" s="60"/>
      <c r="D20" s="29"/>
      <c r="E20" s="29"/>
      <c r="F20" s="29"/>
      <c r="G20" s="29"/>
      <c r="H20" s="29"/>
      <c r="I20" s="29"/>
      <c r="J20" s="252"/>
    </row>
    <row r="21" spans="1:20" x14ac:dyDescent="0.25">
      <c r="A21" s="228"/>
      <c r="B21" s="233"/>
      <c r="C21" s="60"/>
      <c r="D21" s="29">
        <v>40</v>
      </c>
      <c r="E21" s="29">
        <v>7.0000000000000007E-2</v>
      </c>
      <c r="F21" s="29">
        <f>AVERAGE(E21:E23)</f>
        <v>7.0333333333333345E-2</v>
      </c>
      <c r="G21" s="29">
        <f>_xlfn.STDEV.S(E21:E23)</f>
        <v>5.7735026918961832E-4</v>
      </c>
      <c r="H21" s="29">
        <f>(F21-0.0062)/0.0007</f>
        <v>91.619047619047635</v>
      </c>
      <c r="I21" s="29">
        <f>((150-H21)/150)*100</f>
        <v>38.92063492063491</v>
      </c>
      <c r="J21" s="252">
        <f>((150-H21)/1)*0.05</f>
        <v>2.9190476190476184</v>
      </c>
    </row>
    <row r="22" spans="1:20" x14ac:dyDescent="0.25">
      <c r="A22" s="228"/>
      <c r="B22" s="233"/>
      <c r="C22" s="60"/>
      <c r="D22" s="29"/>
      <c r="E22" s="29">
        <v>7.0000000000000007E-2</v>
      </c>
      <c r="F22" s="29"/>
      <c r="G22" s="29"/>
      <c r="H22" s="29"/>
      <c r="I22" s="29"/>
      <c r="J22" s="252"/>
    </row>
    <row r="23" spans="1:20" x14ac:dyDescent="0.25">
      <c r="A23" s="228"/>
      <c r="B23" s="233"/>
      <c r="C23" s="61"/>
      <c r="D23" s="30"/>
      <c r="E23" s="30">
        <v>7.0999999999999994E-2</v>
      </c>
      <c r="F23" s="30"/>
      <c r="G23" s="30"/>
      <c r="H23" s="30"/>
      <c r="I23" s="30"/>
      <c r="J23" s="251"/>
    </row>
    <row r="24" spans="1:20" x14ac:dyDescent="0.25">
      <c r="A24" s="228"/>
      <c r="B24" s="233"/>
      <c r="C24" s="233"/>
      <c r="D24" s="228"/>
      <c r="E24" s="228"/>
      <c r="F24" s="228"/>
      <c r="G24" s="228"/>
      <c r="H24" s="228"/>
      <c r="I24" s="228"/>
      <c r="J24" s="256"/>
      <c r="K24" s="233"/>
      <c r="L24" s="233"/>
      <c r="M24" s="228"/>
      <c r="N24" s="228"/>
      <c r="O24" s="228"/>
      <c r="P24" s="228"/>
      <c r="Q24" s="228"/>
      <c r="R24" s="228"/>
      <c r="S24" s="256"/>
    </row>
    <row r="25" spans="1:20" x14ac:dyDescent="0.25">
      <c r="A25" s="228"/>
      <c r="B25" s="233"/>
      <c r="C25" s="321"/>
      <c r="D25" s="228"/>
      <c r="M25" s="228"/>
      <c r="N25" s="228"/>
      <c r="O25" s="228"/>
      <c r="P25" s="228"/>
      <c r="Q25" s="228"/>
      <c r="R25" s="228"/>
      <c r="S25" s="228"/>
      <c r="T25" s="233"/>
    </row>
    <row r="26" spans="1:20" ht="18" x14ac:dyDescent="0.35">
      <c r="A26" s="228"/>
      <c r="B26" s="233"/>
      <c r="C26" s="59" t="s">
        <v>29</v>
      </c>
      <c r="D26" s="258" t="s">
        <v>75</v>
      </c>
      <c r="E26" s="258" t="s">
        <v>30</v>
      </c>
      <c r="F26" s="258" t="s">
        <v>32</v>
      </c>
      <c r="G26" s="258" t="s">
        <v>31</v>
      </c>
      <c r="H26" s="258" t="s">
        <v>43</v>
      </c>
      <c r="I26" s="258" t="s">
        <v>34</v>
      </c>
      <c r="J26" s="255" t="s">
        <v>77</v>
      </c>
      <c r="M26" s="228"/>
      <c r="N26" s="228"/>
      <c r="O26" s="228"/>
      <c r="P26" s="228"/>
      <c r="Q26" s="228"/>
      <c r="R26" s="228"/>
      <c r="S26" s="228"/>
      <c r="T26" s="233"/>
    </row>
    <row r="27" spans="1:20" x14ac:dyDescent="0.25">
      <c r="A27" s="228"/>
      <c r="B27" s="233"/>
      <c r="C27" s="60" t="s">
        <v>35</v>
      </c>
      <c r="D27" s="29">
        <v>5</v>
      </c>
      <c r="E27" s="29">
        <v>8.2000000000000003E-2</v>
      </c>
      <c r="F27" s="29">
        <f>AVERAGE(E27:E29)</f>
        <v>8.1666666666666665E-2</v>
      </c>
      <c r="G27" s="29">
        <f>_xlfn.STDEV.S(E27:E29)</f>
        <v>5.7735026918962634E-4</v>
      </c>
      <c r="H27" s="29">
        <f>(F27-0.0062)/0.0007</f>
        <v>107.80952380952381</v>
      </c>
      <c r="I27" s="29">
        <f>((150-H27)/150)*100</f>
        <v>28.126984126984127</v>
      </c>
      <c r="J27" s="252">
        <f>((150-H27)/1)*0.05</f>
        <v>2.1095238095238096</v>
      </c>
      <c r="M27" s="228"/>
      <c r="N27" s="228"/>
      <c r="O27" s="228"/>
      <c r="P27" s="228"/>
      <c r="Q27" s="228"/>
      <c r="R27" s="228"/>
      <c r="S27" s="228"/>
      <c r="T27" s="233"/>
    </row>
    <row r="28" spans="1:20" x14ac:dyDescent="0.25">
      <c r="A28" s="228"/>
      <c r="B28" s="233"/>
      <c r="C28" s="60" t="s">
        <v>126</v>
      </c>
      <c r="D28" s="29"/>
      <c r="E28" s="29">
        <v>8.1000000000000003E-2</v>
      </c>
      <c r="F28" s="29"/>
      <c r="G28" s="29"/>
      <c r="H28" s="29"/>
      <c r="I28" s="29"/>
      <c r="J28" s="252"/>
      <c r="M28" s="228"/>
      <c r="N28" s="228"/>
      <c r="O28" s="228"/>
      <c r="P28" s="228"/>
      <c r="Q28" s="228"/>
      <c r="R28" s="228"/>
      <c r="S28" s="228"/>
      <c r="T28" s="233"/>
    </row>
    <row r="29" spans="1:20" x14ac:dyDescent="0.25">
      <c r="A29" s="228"/>
      <c r="B29" s="233"/>
      <c r="C29" s="60"/>
      <c r="D29" s="30"/>
      <c r="E29" s="30">
        <v>8.2000000000000003E-2</v>
      </c>
      <c r="F29" s="30"/>
      <c r="G29" s="30"/>
      <c r="H29" s="30"/>
      <c r="I29" s="30"/>
      <c r="J29" s="251"/>
      <c r="M29" s="228"/>
      <c r="N29" s="228"/>
      <c r="O29" s="228"/>
      <c r="P29" s="228"/>
      <c r="Q29" s="228"/>
      <c r="R29" s="228"/>
      <c r="S29" s="228"/>
      <c r="T29" s="233"/>
    </row>
    <row r="30" spans="1:20" x14ac:dyDescent="0.25">
      <c r="A30" s="228"/>
      <c r="B30" s="233"/>
      <c r="C30" s="60"/>
      <c r="D30" s="29"/>
      <c r="E30" s="29"/>
      <c r="F30" s="29"/>
      <c r="G30" s="29"/>
      <c r="H30" s="29"/>
      <c r="I30" s="29"/>
      <c r="J30" s="252"/>
      <c r="M30" s="228"/>
      <c r="N30" s="228"/>
      <c r="O30" s="228"/>
      <c r="P30" s="228"/>
      <c r="Q30" s="228"/>
      <c r="R30" s="228"/>
      <c r="S30" s="228"/>
      <c r="T30" s="233"/>
    </row>
    <row r="31" spans="1:20" x14ac:dyDescent="0.25">
      <c r="A31" s="228"/>
      <c r="B31" s="233"/>
      <c r="C31" s="60"/>
      <c r="D31" s="29">
        <v>10</v>
      </c>
      <c r="E31" s="29">
        <v>7.8E-2</v>
      </c>
      <c r="F31" s="29">
        <f>AVERAGE(E31:E33)</f>
        <v>7.8666666666666663E-2</v>
      </c>
      <c r="G31" s="29">
        <f>_xlfn.STDEV.S(E31:E33)</f>
        <v>5.7735026918962634E-4</v>
      </c>
      <c r="H31" s="29">
        <f>(F31-0.0062)/0.0007</f>
        <v>103.52380952380952</v>
      </c>
      <c r="I31" s="29">
        <f>((150-H31)/150)*100</f>
        <v>30.984126984126988</v>
      </c>
      <c r="J31" s="252">
        <f>((150-H31)/1)*0.05</f>
        <v>2.323809523809524</v>
      </c>
      <c r="M31" s="228"/>
      <c r="N31" s="228"/>
      <c r="O31" s="228"/>
      <c r="P31" s="228"/>
      <c r="Q31" s="228"/>
      <c r="R31" s="228"/>
      <c r="S31" s="228"/>
      <c r="T31" s="233"/>
    </row>
    <row r="32" spans="1:20" x14ac:dyDescent="0.25">
      <c r="A32" s="228"/>
      <c r="B32" s="233"/>
      <c r="C32" s="60"/>
      <c r="D32" s="29"/>
      <c r="E32" s="29">
        <v>7.9000000000000001E-2</v>
      </c>
      <c r="F32" s="29"/>
      <c r="G32" s="29"/>
      <c r="H32" s="29"/>
      <c r="I32" s="29"/>
      <c r="J32" s="252"/>
      <c r="M32" s="228"/>
      <c r="N32" s="228"/>
      <c r="O32" s="228"/>
      <c r="P32" s="228"/>
      <c r="Q32" s="228"/>
      <c r="R32" s="228"/>
      <c r="S32" s="228"/>
      <c r="T32" s="233"/>
    </row>
    <row r="33" spans="1:20" x14ac:dyDescent="0.25">
      <c r="A33" s="228"/>
      <c r="B33" s="233"/>
      <c r="C33" s="60"/>
      <c r="D33" s="30"/>
      <c r="E33" s="30">
        <v>7.9000000000000001E-2</v>
      </c>
      <c r="F33" s="30"/>
      <c r="G33" s="30"/>
      <c r="H33" s="30"/>
      <c r="I33" s="30"/>
      <c r="J33" s="251"/>
      <c r="M33" s="228"/>
      <c r="N33" s="228"/>
      <c r="O33" s="228"/>
      <c r="P33" s="228"/>
      <c r="Q33" s="228"/>
      <c r="R33" s="228"/>
      <c r="S33" s="228"/>
      <c r="T33" s="233"/>
    </row>
    <row r="34" spans="1:20" x14ac:dyDescent="0.25">
      <c r="A34" s="228"/>
      <c r="B34" s="233"/>
      <c r="C34" s="60"/>
      <c r="D34" s="29"/>
      <c r="E34" s="29"/>
      <c r="F34" s="29"/>
      <c r="G34" s="29"/>
      <c r="H34" s="29"/>
      <c r="I34" s="29"/>
      <c r="J34" s="252"/>
      <c r="M34" s="228"/>
      <c r="N34" s="228"/>
      <c r="O34" s="228"/>
      <c r="P34" s="228"/>
      <c r="Q34" s="228"/>
      <c r="R34" s="228"/>
      <c r="S34" s="228"/>
      <c r="T34" s="233"/>
    </row>
    <row r="35" spans="1:20" x14ac:dyDescent="0.25">
      <c r="A35" s="228"/>
      <c r="B35" s="233"/>
      <c r="C35" s="60"/>
      <c r="D35" s="29">
        <v>15</v>
      </c>
      <c r="E35" s="29">
        <v>7.2999999999999995E-2</v>
      </c>
      <c r="F35" s="29">
        <f>AVERAGE(E35:E37)</f>
        <v>7.3666666666666658E-2</v>
      </c>
      <c r="G35" s="29">
        <f>_xlfn.STDEV.S(E35:E37)</f>
        <v>1.1547005383792527E-3</v>
      </c>
      <c r="H35" s="29">
        <f>(F35-0.0062)/0.0007</f>
        <v>96.38095238095238</v>
      </c>
      <c r="I35" s="29">
        <f>((150-H35)/150)*100</f>
        <v>35.746031746031747</v>
      </c>
      <c r="J35" s="252">
        <f>((150-H35)/1)*0.05</f>
        <v>2.6809523809523812</v>
      </c>
      <c r="M35" s="228"/>
      <c r="N35" s="228"/>
      <c r="O35" s="228"/>
      <c r="P35" s="228"/>
      <c r="Q35" s="228"/>
      <c r="R35" s="228"/>
      <c r="S35" s="228"/>
      <c r="T35" s="233"/>
    </row>
    <row r="36" spans="1:20" x14ac:dyDescent="0.25">
      <c r="A36" s="228"/>
      <c r="B36" s="233"/>
      <c r="C36" s="60"/>
      <c r="D36" s="29"/>
      <c r="E36" s="29">
        <v>7.4999999999999997E-2</v>
      </c>
      <c r="F36" s="29"/>
      <c r="G36" s="29"/>
      <c r="H36" s="29"/>
      <c r="I36" s="29"/>
      <c r="J36" s="252"/>
      <c r="M36" s="228"/>
      <c r="N36" s="228"/>
      <c r="O36" s="228"/>
      <c r="P36" s="228"/>
      <c r="Q36" s="228"/>
      <c r="R36" s="228"/>
      <c r="S36" s="228"/>
      <c r="T36" s="233"/>
    </row>
    <row r="37" spans="1:20" x14ac:dyDescent="0.25">
      <c r="A37" s="228"/>
      <c r="B37" s="233"/>
      <c r="C37" s="60"/>
      <c r="D37" s="30"/>
      <c r="E37" s="30">
        <v>7.2999999999999995E-2</v>
      </c>
      <c r="F37" s="30"/>
      <c r="G37" s="30"/>
      <c r="H37" s="30"/>
      <c r="I37" s="30"/>
      <c r="J37" s="251"/>
      <c r="M37" s="228"/>
      <c r="N37" s="228"/>
      <c r="O37" s="228"/>
      <c r="P37" s="228"/>
      <c r="Q37" s="228"/>
      <c r="R37" s="228"/>
      <c r="S37" s="228"/>
      <c r="T37" s="233"/>
    </row>
    <row r="38" spans="1:20" x14ac:dyDescent="0.25">
      <c r="A38" s="228"/>
      <c r="B38" s="233"/>
      <c r="C38" s="60"/>
      <c r="D38" s="29"/>
      <c r="E38" s="29"/>
      <c r="F38" s="29"/>
      <c r="G38" s="29"/>
      <c r="H38" s="29"/>
      <c r="I38" s="29"/>
      <c r="J38" s="252"/>
      <c r="M38" s="228"/>
      <c r="N38" s="228"/>
      <c r="O38" s="228"/>
      <c r="P38" s="228"/>
      <c r="Q38" s="228"/>
      <c r="R38" s="228"/>
      <c r="S38" s="228"/>
      <c r="T38" s="233"/>
    </row>
    <row r="39" spans="1:20" x14ac:dyDescent="0.25">
      <c r="A39" s="228"/>
      <c r="B39" s="233"/>
      <c r="C39" s="60"/>
      <c r="D39" s="29">
        <v>20</v>
      </c>
      <c r="E39" s="29">
        <v>6.9000000000000006E-2</v>
      </c>
      <c r="F39" s="29">
        <f>AVERAGE(E39:E41)</f>
        <v>7.1000000000000008E-2</v>
      </c>
      <c r="G39" s="29">
        <f>_xlfn.STDEV.S(E39:E41)</f>
        <v>1.9999999999999948E-3</v>
      </c>
      <c r="H39" s="29">
        <f>(F39-0.0062)/0.0007</f>
        <v>92.571428571428584</v>
      </c>
      <c r="I39" s="29">
        <f>((150-H39)/150)*100</f>
        <v>38.285714285714278</v>
      </c>
      <c r="J39" s="252">
        <f>((150-H39)/1)*0.05</f>
        <v>2.871428571428571</v>
      </c>
      <c r="M39" s="228"/>
      <c r="N39" s="228"/>
      <c r="O39" s="228"/>
      <c r="P39" s="228"/>
      <c r="Q39" s="228"/>
      <c r="R39" s="228"/>
      <c r="S39" s="228"/>
      <c r="T39" s="233"/>
    </row>
    <row r="40" spans="1:20" x14ac:dyDescent="0.25">
      <c r="A40" s="228"/>
      <c r="B40" s="233"/>
      <c r="C40" s="60"/>
      <c r="D40" s="29"/>
      <c r="E40" s="29">
        <v>7.2999999999999995E-2</v>
      </c>
      <c r="F40" s="29"/>
      <c r="G40" s="29"/>
      <c r="H40" s="29"/>
      <c r="I40" s="29"/>
      <c r="J40" s="252"/>
      <c r="M40" s="228"/>
      <c r="N40" s="228"/>
      <c r="O40" s="228"/>
      <c r="P40" s="228"/>
      <c r="Q40" s="228"/>
      <c r="R40" s="228"/>
      <c r="S40" s="228"/>
      <c r="T40" s="233"/>
    </row>
    <row r="41" spans="1:20" x14ac:dyDescent="0.25">
      <c r="A41" s="228"/>
      <c r="B41" s="233"/>
      <c r="C41" s="60"/>
      <c r="D41" s="30"/>
      <c r="E41" s="30">
        <v>7.0999999999999994E-2</v>
      </c>
      <c r="F41" s="30"/>
      <c r="G41" s="30"/>
      <c r="H41" s="30"/>
      <c r="I41" s="30"/>
      <c r="J41" s="251"/>
      <c r="M41" s="228"/>
      <c r="N41" s="228"/>
      <c r="O41" s="228"/>
      <c r="P41" s="228"/>
      <c r="Q41" s="228"/>
      <c r="R41" s="228"/>
      <c r="S41" s="228"/>
      <c r="T41" s="233"/>
    </row>
    <row r="42" spans="1:20" x14ac:dyDescent="0.25">
      <c r="A42" s="228"/>
      <c r="B42" s="233"/>
      <c r="C42" s="60"/>
      <c r="D42" s="29"/>
      <c r="E42" s="29"/>
      <c r="F42" s="29"/>
      <c r="G42" s="29"/>
      <c r="H42" s="29"/>
      <c r="I42" s="29"/>
      <c r="J42" s="252"/>
      <c r="M42" s="228"/>
      <c r="N42" s="228"/>
      <c r="O42" s="228"/>
      <c r="P42" s="228"/>
      <c r="Q42" s="228"/>
      <c r="R42" s="228"/>
      <c r="S42" s="228"/>
      <c r="T42" s="233"/>
    </row>
    <row r="43" spans="1:20" x14ac:dyDescent="0.25">
      <c r="A43" s="228"/>
      <c r="B43" s="233"/>
      <c r="C43" s="60"/>
      <c r="D43" s="29">
        <v>40</v>
      </c>
      <c r="E43" s="29">
        <v>6.5000000000000002E-2</v>
      </c>
      <c r="F43" s="29">
        <f>AVERAGE(E43:E45)</f>
        <v>6.5666666666666665E-2</v>
      </c>
      <c r="G43" s="29">
        <f>_xlfn.STDEV.S(E43:E45)</f>
        <v>1.1547005383792527E-3</v>
      </c>
      <c r="H43" s="29">
        <f>(F43-0.0062)/0.0007</f>
        <v>84.952380952380949</v>
      </c>
      <c r="I43" s="29">
        <f>((150-H43)/150)*100</f>
        <v>43.365079365079367</v>
      </c>
      <c r="J43" s="252">
        <f>((150-H43)/1)*0.05</f>
        <v>3.2523809523809528</v>
      </c>
      <c r="M43" s="228"/>
      <c r="N43" s="228"/>
      <c r="O43" s="228"/>
      <c r="P43" s="228"/>
      <c r="Q43" s="228"/>
      <c r="R43" s="228"/>
      <c r="S43" s="228"/>
      <c r="T43" s="233"/>
    </row>
    <row r="44" spans="1:20" x14ac:dyDescent="0.25">
      <c r="A44" s="228"/>
      <c r="B44" s="233"/>
      <c r="C44" s="60"/>
      <c r="D44" s="29"/>
      <c r="E44" s="29">
        <v>6.5000000000000002E-2</v>
      </c>
      <c r="F44" s="29"/>
      <c r="G44" s="29"/>
      <c r="H44" s="29"/>
      <c r="I44" s="29"/>
      <c r="J44" s="252"/>
      <c r="M44" s="228"/>
      <c r="N44" s="228"/>
      <c r="O44" s="228"/>
      <c r="P44" s="228"/>
      <c r="Q44" s="228"/>
      <c r="R44" s="228"/>
      <c r="S44" s="228"/>
      <c r="T44" s="233"/>
    </row>
    <row r="45" spans="1:20" x14ac:dyDescent="0.25">
      <c r="A45" s="228"/>
      <c r="B45" s="233"/>
      <c r="C45" s="61"/>
      <c r="D45" s="30"/>
      <c r="E45" s="30">
        <v>6.7000000000000004E-2</v>
      </c>
      <c r="F45" s="30"/>
      <c r="G45" s="30"/>
      <c r="H45" s="30"/>
      <c r="I45" s="30"/>
      <c r="J45" s="251"/>
      <c r="K45" s="233"/>
      <c r="L45" s="233"/>
      <c r="M45" s="228"/>
      <c r="N45" s="228"/>
      <c r="O45" s="228"/>
      <c r="P45" s="228"/>
      <c r="Q45" s="228"/>
      <c r="R45" s="228"/>
      <c r="S45" s="228"/>
      <c r="T45" s="233"/>
    </row>
    <row r="46" spans="1:20" x14ac:dyDescent="0.25">
      <c r="A46" s="228"/>
      <c r="B46" s="233"/>
      <c r="C46" s="233"/>
      <c r="D46" s="228"/>
      <c r="E46" s="228"/>
      <c r="F46" s="228"/>
      <c r="G46" s="228"/>
      <c r="H46" s="228"/>
      <c r="I46" s="228"/>
      <c r="J46" s="228"/>
      <c r="K46" s="233"/>
      <c r="L46" s="233"/>
      <c r="M46" s="228"/>
      <c r="N46" s="228"/>
      <c r="O46" s="228"/>
      <c r="P46" s="228"/>
      <c r="Q46" s="228"/>
      <c r="R46" s="228"/>
      <c r="S46" s="228"/>
      <c r="T46" s="233"/>
    </row>
    <row r="47" spans="1:20" x14ac:dyDescent="0.25">
      <c r="A47" s="228"/>
      <c r="B47" s="233"/>
      <c r="C47" s="233"/>
      <c r="D47" s="228"/>
      <c r="E47" s="228"/>
      <c r="F47" s="228"/>
      <c r="G47" s="228"/>
      <c r="H47" s="228"/>
      <c r="I47" s="228"/>
      <c r="J47" s="228"/>
      <c r="K47" s="233"/>
      <c r="L47" s="233"/>
      <c r="M47" s="228"/>
      <c r="N47" s="228"/>
      <c r="O47" s="228"/>
      <c r="P47" s="228"/>
      <c r="Q47" s="228"/>
      <c r="R47" s="228"/>
      <c r="S47" s="228"/>
      <c r="T47" s="233"/>
    </row>
    <row r="48" spans="1:20" ht="18" x14ac:dyDescent="0.35">
      <c r="A48" s="228"/>
      <c r="B48" s="233"/>
      <c r="C48" s="59" t="s">
        <v>29</v>
      </c>
      <c r="D48" s="258" t="s">
        <v>75</v>
      </c>
      <c r="E48" s="258" t="s">
        <v>30</v>
      </c>
      <c r="F48" s="258" t="s">
        <v>32</v>
      </c>
      <c r="G48" s="258" t="s">
        <v>31</v>
      </c>
      <c r="H48" s="258" t="s">
        <v>43</v>
      </c>
      <c r="I48" s="258" t="s">
        <v>34</v>
      </c>
      <c r="J48" s="255" t="s">
        <v>77</v>
      </c>
      <c r="K48" s="233"/>
      <c r="L48" s="233"/>
      <c r="M48" s="228"/>
      <c r="N48" s="228"/>
      <c r="O48" s="228"/>
      <c r="P48" s="228"/>
      <c r="Q48" s="228"/>
      <c r="R48" s="228"/>
      <c r="S48" s="228"/>
      <c r="T48" s="233"/>
    </row>
    <row r="49" spans="1:20" x14ac:dyDescent="0.25">
      <c r="A49" s="228"/>
      <c r="B49" s="233"/>
      <c r="C49" s="60" t="s">
        <v>35</v>
      </c>
      <c r="D49" s="29">
        <v>5</v>
      </c>
      <c r="E49" s="29">
        <v>7.2999999999999995E-2</v>
      </c>
      <c r="F49" s="29">
        <f>AVERAGE(E49:E51)</f>
        <v>7.333333333333332E-2</v>
      </c>
      <c r="G49" s="29">
        <f>_xlfn.STDEV.S(E49:E51)</f>
        <v>5.7735026918962634E-4</v>
      </c>
      <c r="H49" s="29">
        <f>(F49-0.0062)/0.0007</f>
        <v>95.904761904761884</v>
      </c>
      <c r="I49" s="29">
        <f>((150-H49)/150)*100</f>
        <v>36.063492063492077</v>
      </c>
      <c r="J49" s="252">
        <f>((150-H49)/1)*0.05</f>
        <v>2.7047619047619058</v>
      </c>
      <c r="K49" s="233"/>
      <c r="L49" s="233"/>
      <c r="M49" s="228"/>
      <c r="N49" s="228"/>
      <c r="O49" s="228"/>
      <c r="P49" s="228"/>
      <c r="Q49" s="228"/>
      <c r="R49" s="228"/>
      <c r="S49" s="228"/>
      <c r="T49" s="233"/>
    </row>
    <row r="50" spans="1:20" x14ac:dyDescent="0.25">
      <c r="A50" s="228"/>
      <c r="B50" s="233"/>
      <c r="C50" s="60" t="s">
        <v>125</v>
      </c>
      <c r="D50" s="29"/>
      <c r="E50" s="29">
        <v>7.2999999999999995E-2</v>
      </c>
      <c r="F50" s="29"/>
      <c r="G50" s="29"/>
      <c r="H50" s="29"/>
      <c r="I50" s="29"/>
      <c r="J50" s="252"/>
      <c r="K50" s="233"/>
      <c r="L50" s="233"/>
      <c r="M50" s="228"/>
      <c r="N50" s="228"/>
      <c r="O50" s="228"/>
      <c r="P50" s="228"/>
      <c r="Q50" s="228"/>
      <c r="R50" s="228"/>
      <c r="S50" s="228"/>
      <c r="T50" s="233"/>
    </row>
    <row r="51" spans="1:20" x14ac:dyDescent="0.25">
      <c r="A51" s="228"/>
      <c r="B51" s="233"/>
      <c r="C51" s="60"/>
      <c r="D51" s="30"/>
      <c r="E51" s="30">
        <v>7.3999999999999996E-2</v>
      </c>
      <c r="F51" s="30"/>
      <c r="G51" s="30"/>
      <c r="H51" s="30"/>
      <c r="I51" s="30"/>
      <c r="J51" s="251"/>
      <c r="K51" s="233"/>
      <c r="L51" s="233"/>
      <c r="M51" s="228"/>
      <c r="N51" s="228"/>
      <c r="O51" s="228"/>
      <c r="P51" s="228"/>
      <c r="Q51" s="228"/>
      <c r="R51" s="228"/>
      <c r="S51" s="228"/>
      <c r="T51" s="233"/>
    </row>
    <row r="52" spans="1:20" x14ac:dyDescent="0.25">
      <c r="A52" s="228"/>
      <c r="B52" s="233"/>
      <c r="C52" s="60"/>
      <c r="D52" s="29"/>
      <c r="E52" s="29"/>
      <c r="F52" s="29"/>
      <c r="G52" s="29"/>
      <c r="H52" s="29"/>
      <c r="I52" s="29"/>
      <c r="J52" s="252"/>
      <c r="K52" s="233"/>
      <c r="L52" s="233"/>
      <c r="M52" s="228"/>
      <c r="N52" s="228"/>
      <c r="O52" s="228"/>
      <c r="P52" s="228"/>
      <c r="Q52" s="228"/>
      <c r="R52" s="228"/>
      <c r="S52" s="228"/>
      <c r="T52" s="233"/>
    </row>
    <row r="53" spans="1:20" x14ac:dyDescent="0.25">
      <c r="A53" s="228"/>
      <c r="B53" s="233"/>
      <c r="C53" s="60"/>
      <c r="D53" s="29">
        <v>10</v>
      </c>
      <c r="E53" s="29">
        <v>7.0000000000000007E-2</v>
      </c>
      <c r="F53" s="29">
        <f>AVERAGE(E53:E55)</f>
        <v>6.9666666666666668E-2</v>
      </c>
      <c r="G53" s="29">
        <f>_xlfn.STDEV.S(E53:E55)</f>
        <v>5.7735026918962634E-4</v>
      </c>
      <c r="H53" s="29">
        <f>(F53-0.0062)/0.0007</f>
        <v>90.666666666666671</v>
      </c>
      <c r="I53" s="29">
        <f>((150-H53)/150)*100</f>
        <v>39.555555555555557</v>
      </c>
      <c r="J53" s="252">
        <f>((150-H53)/1)*0.05</f>
        <v>2.9666666666666668</v>
      </c>
      <c r="K53" s="233"/>
      <c r="L53" s="233"/>
      <c r="M53" s="228"/>
      <c r="N53" s="228"/>
      <c r="O53" s="228"/>
      <c r="P53" s="228"/>
      <c r="Q53" s="228"/>
      <c r="R53" s="228"/>
      <c r="S53" s="228"/>
      <c r="T53" s="233"/>
    </row>
    <row r="54" spans="1:20" x14ac:dyDescent="0.25">
      <c r="A54" s="228"/>
      <c r="B54" s="233"/>
      <c r="C54" s="60"/>
      <c r="D54" s="29"/>
      <c r="E54" s="29">
        <v>6.9000000000000006E-2</v>
      </c>
      <c r="F54" s="29"/>
      <c r="G54" s="29"/>
      <c r="H54" s="29"/>
      <c r="I54" s="29"/>
      <c r="J54" s="252"/>
      <c r="K54" s="233"/>
      <c r="L54" s="233"/>
      <c r="M54" s="228"/>
      <c r="N54" s="228"/>
      <c r="O54" s="228"/>
      <c r="P54" s="228"/>
      <c r="Q54" s="228"/>
      <c r="R54" s="228"/>
      <c r="S54" s="228"/>
      <c r="T54" s="233"/>
    </row>
    <row r="55" spans="1:20" x14ac:dyDescent="0.25">
      <c r="A55" s="228"/>
      <c r="B55" s="233"/>
      <c r="C55" s="60"/>
      <c r="D55" s="30"/>
      <c r="E55" s="30">
        <v>7.0000000000000007E-2</v>
      </c>
      <c r="F55" s="30"/>
      <c r="G55" s="30"/>
      <c r="H55" s="30"/>
      <c r="I55" s="30"/>
      <c r="J55" s="251"/>
      <c r="K55" s="233"/>
      <c r="L55" s="233"/>
      <c r="M55" s="228"/>
      <c r="N55" s="228"/>
      <c r="O55" s="228"/>
      <c r="P55" s="228"/>
      <c r="Q55" s="228"/>
      <c r="R55" s="228"/>
      <c r="S55" s="228"/>
      <c r="T55" s="233"/>
    </row>
    <row r="56" spans="1:20" x14ac:dyDescent="0.25">
      <c r="A56" s="228"/>
      <c r="B56" s="233"/>
      <c r="C56" s="60"/>
      <c r="D56" s="29"/>
      <c r="E56" s="29"/>
      <c r="F56" s="29"/>
      <c r="G56" s="29"/>
      <c r="H56" s="29"/>
      <c r="I56" s="29"/>
      <c r="J56" s="252"/>
      <c r="K56" s="233"/>
      <c r="L56" s="233"/>
      <c r="M56" s="228"/>
      <c r="N56" s="228"/>
      <c r="O56" s="228"/>
      <c r="P56" s="228"/>
      <c r="Q56" s="228"/>
      <c r="R56" s="228"/>
      <c r="S56" s="228"/>
      <c r="T56" s="233"/>
    </row>
    <row r="57" spans="1:20" x14ac:dyDescent="0.25">
      <c r="A57" s="228"/>
      <c r="B57" s="233"/>
      <c r="C57" s="60"/>
      <c r="D57" s="29">
        <v>15</v>
      </c>
      <c r="E57" s="29">
        <v>6.5000000000000002E-2</v>
      </c>
      <c r="F57" s="29">
        <f>AVERAGE(E57:E59)</f>
        <v>6.433333333333334E-2</v>
      </c>
      <c r="G57" s="29">
        <f>_xlfn.STDEV.S(E57:E59)</f>
        <v>5.7735026918962634E-4</v>
      </c>
      <c r="H57" s="29">
        <f>(F57-0.0062)/0.0007</f>
        <v>83.047619047619065</v>
      </c>
      <c r="I57" s="29">
        <f>((150-H57)/150)*100</f>
        <v>44.634920634920618</v>
      </c>
      <c r="J57" s="252">
        <f>((150-H57)/1)*0.05</f>
        <v>3.3476190476190468</v>
      </c>
      <c r="K57" s="233"/>
      <c r="L57" s="233"/>
      <c r="M57" s="228"/>
      <c r="N57" s="228"/>
      <c r="O57" s="228"/>
      <c r="P57" s="228"/>
      <c r="Q57" s="228"/>
      <c r="R57" s="228"/>
      <c r="S57" s="228"/>
      <c r="T57" s="233"/>
    </row>
    <row r="58" spans="1:20" x14ac:dyDescent="0.25">
      <c r="A58" s="228"/>
      <c r="B58" s="233"/>
      <c r="C58" s="60"/>
      <c r="D58" s="29"/>
      <c r="E58" s="29">
        <v>6.4000000000000001E-2</v>
      </c>
      <c r="F58" s="29"/>
      <c r="G58" s="29"/>
      <c r="H58" s="29"/>
      <c r="I58" s="29"/>
      <c r="J58" s="252"/>
      <c r="K58" s="233"/>
      <c r="L58" s="233"/>
      <c r="M58" s="228"/>
      <c r="N58" s="228"/>
      <c r="O58" s="228"/>
      <c r="P58" s="228"/>
      <c r="Q58" s="228"/>
      <c r="R58" s="228"/>
      <c r="S58" s="228"/>
      <c r="T58" s="233"/>
    </row>
    <row r="59" spans="1:20" x14ac:dyDescent="0.25">
      <c r="A59" s="228"/>
      <c r="B59" s="233"/>
      <c r="C59" s="60"/>
      <c r="D59" s="30"/>
      <c r="E59" s="30">
        <v>6.4000000000000001E-2</v>
      </c>
      <c r="F59" s="30"/>
      <c r="G59" s="30"/>
      <c r="H59" s="30"/>
      <c r="I59" s="30"/>
      <c r="J59" s="251"/>
      <c r="K59" s="233"/>
      <c r="L59" s="233"/>
      <c r="M59" s="228"/>
      <c r="N59" s="228"/>
      <c r="O59" s="228"/>
      <c r="P59" s="228"/>
      <c r="Q59" s="228"/>
      <c r="R59" s="228"/>
      <c r="S59" s="228"/>
    </row>
    <row r="60" spans="1:20" x14ac:dyDescent="0.25">
      <c r="A60" s="228"/>
      <c r="B60" s="233"/>
      <c r="C60" s="60"/>
      <c r="D60" s="29"/>
      <c r="E60" s="29"/>
      <c r="F60" s="29"/>
      <c r="G60" s="29"/>
      <c r="H60" s="29"/>
      <c r="I60" s="29"/>
      <c r="J60" s="252"/>
      <c r="K60" s="233"/>
      <c r="L60" s="233"/>
      <c r="M60" s="228"/>
      <c r="N60" s="228"/>
      <c r="O60" s="228"/>
      <c r="P60" s="228"/>
      <c r="Q60" s="228"/>
      <c r="R60" s="228"/>
      <c r="S60" s="228"/>
    </row>
    <row r="61" spans="1:20" x14ac:dyDescent="0.25">
      <c r="A61" s="233"/>
      <c r="B61" s="233"/>
      <c r="C61" s="60"/>
      <c r="D61" s="29">
        <v>20</v>
      </c>
      <c r="E61" s="29">
        <v>6.2E-2</v>
      </c>
      <c r="F61" s="29">
        <f>AVERAGE(E61:E63)</f>
        <v>6.1666666666666668E-2</v>
      </c>
      <c r="G61" s="29">
        <f>_xlfn.STDEV.S(E61:E63)</f>
        <v>5.7735026918962634E-4</v>
      </c>
      <c r="H61" s="29">
        <f>(F61-0.0062)/0.0007</f>
        <v>79.238095238095241</v>
      </c>
      <c r="I61" s="29">
        <f>((150-H61)/150)*100</f>
        <v>47.174603174603178</v>
      </c>
      <c r="J61" s="252">
        <f>((150-H61)/1)*0.05</f>
        <v>3.538095238095238</v>
      </c>
      <c r="K61" s="233"/>
      <c r="L61" s="233"/>
      <c r="M61" s="228"/>
      <c r="N61" s="228"/>
      <c r="O61" s="228"/>
      <c r="P61" s="228"/>
      <c r="Q61" s="228"/>
      <c r="R61" s="228"/>
      <c r="S61" s="228"/>
    </row>
    <row r="62" spans="1:20" x14ac:dyDescent="0.25">
      <c r="A62" s="233"/>
      <c r="B62" s="233"/>
      <c r="C62" s="60"/>
      <c r="D62" s="29"/>
      <c r="E62" s="29">
        <v>6.0999999999999999E-2</v>
      </c>
      <c r="F62" s="29"/>
      <c r="G62" s="29"/>
      <c r="H62" s="29"/>
      <c r="I62" s="29"/>
      <c r="J62" s="252"/>
      <c r="K62" s="233"/>
      <c r="L62" s="233"/>
      <c r="M62" s="228"/>
      <c r="N62" s="228"/>
      <c r="O62" s="228"/>
      <c r="P62" s="228"/>
      <c r="Q62" s="228"/>
      <c r="R62" s="228"/>
      <c r="S62" s="228"/>
    </row>
    <row r="63" spans="1:20" x14ac:dyDescent="0.25">
      <c r="A63" s="233"/>
      <c r="C63" s="60"/>
      <c r="D63" s="30"/>
      <c r="E63" s="30">
        <v>6.2E-2</v>
      </c>
      <c r="F63" s="30"/>
      <c r="G63" s="30"/>
      <c r="H63" s="30"/>
      <c r="I63" s="30"/>
      <c r="J63" s="251"/>
    </row>
    <row r="64" spans="1:20" x14ac:dyDescent="0.25">
      <c r="A64" s="233"/>
      <c r="C64" s="60"/>
      <c r="D64" s="29"/>
      <c r="E64" s="29"/>
      <c r="F64" s="29"/>
      <c r="G64" s="29"/>
      <c r="H64" s="29"/>
      <c r="I64" s="29"/>
      <c r="J64" s="252"/>
    </row>
    <row r="65" spans="3:10" x14ac:dyDescent="0.25">
      <c r="C65" s="60"/>
      <c r="D65" s="29">
        <v>40</v>
      </c>
      <c r="E65" s="29">
        <v>5.7000000000000002E-2</v>
      </c>
      <c r="F65" s="29">
        <f>AVERAGE(E65:E67)</f>
        <v>5.6666666666666671E-2</v>
      </c>
      <c r="G65" s="29">
        <f>_xlfn.STDEV.S(E65:E67)</f>
        <v>5.7735026918962634E-4</v>
      </c>
      <c r="H65" s="29">
        <f>(F65-0.0062)/0.0007</f>
        <v>72.095238095238102</v>
      </c>
      <c r="I65" s="29">
        <f>((150-H65)/150)*100</f>
        <v>51.936507936507937</v>
      </c>
      <c r="J65" s="252">
        <f>((150-H65)/1)*0.05</f>
        <v>3.8952380952380952</v>
      </c>
    </row>
    <row r="66" spans="3:10" x14ac:dyDescent="0.25">
      <c r="C66" s="60"/>
      <c r="D66" s="29"/>
      <c r="E66" s="29">
        <v>5.7000000000000002E-2</v>
      </c>
      <c r="F66" s="29"/>
      <c r="G66" s="29"/>
      <c r="H66" s="29"/>
      <c r="I66" s="29"/>
      <c r="J66" s="252"/>
    </row>
    <row r="67" spans="3:10" x14ac:dyDescent="0.25">
      <c r="C67" s="61"/>
      <c r="D67" s="30"/>
      <c r="E67" s="30">
        <v>5.6000000000000001E-2</v>
      </c>
      <c r="F67" s="30"/>
      <c r="G67" s="30"/>
      <c r="H67" s="30"/>
      <c r="I67" s="30"/>
      <c r="J67" s="251"/>
    </row>
    <row r="70" spans="3:10" ht="18" x14ac:dyDescent="0.35">
      <c r="C70" s="59" t="s">
        <v>29</v>
      </c>
      <c r="D70" s="258" t="s">
        <v>75</v>
      </c>
      <c r="E70" s="258" t="s">
        <v>30</v>
      </c>
      <c r="F70" s="258" t="s">
        <v>32</v>
      </c>
      <c r="G70" s="258" t="s">
        <v>31</v>
      </c>
      <c r="H70" s="258" t="s">
        <v>43</v>
      </c>
      <c r="I70" s="258" t="s">
        <v>34</v>
      </c>
      <c r="J70" s="255" t="s">
        <v>77</v>
      </c>
    </row>
    <row r="71" spans="3:10" x14ac:dyDescent="0.25">
      <c r="C71" s="60" t="s">
        <v>35</v>
      </c>
      <c r="D71" s="29">
        <v>5</v>
      </c>
      <c r="E71" s="29">
        <v>7.1999999999999995E-2</v>
      </c>
      <c r="F71" s="29">
        <f>AVERAGE(E71:E73)</f>
        <v>7.1666666666666656E-2</v>
      </c>
      <c r="G71" s="29">
        <f>_xlfn.STDEV.S(E71:E73)</f>
        <v>5.7735026918962634E-4</v>
      </c>
      <c r="H71" s="29">
        <f>(F71-0.0062)/0.0007</f>
        <v>93.523809523809518</v>
      </c>
      <c r="I71" s="29">
        <f>((150-H71)/150)*100</f>
        <v>37.650793650793659</v>
      </c>
      <c r="J71" s="252">
        <f>((150-H71)/1)*0.05</f>
        <v>2.8238095238095244</v>
      </c>
    </row>
    <row r="72" spans="3:10" x14ac:dyDescent="0.25">
      <c r="C72" s="60" t="s">
        <v>124</v>
      </c>
      <c r="D72" s="29"/>
      <c r="E72" s="29">
        <v>7.0999999999999994E-2</v>
      </c>
      <c r="F72" s="29"/>
      <c r="G72" s="29"/>
      <c r="H72" s="29"/>
      <c r="I72" s="29"/>
      <c r="J72" s="252"/>
    </row>
    <row r="73" spans="3:10" x14ac:dyDescent="0.25">
      <c r="C73" s="60"/>
      <c r="D73" s="30"/>
      <c r="E73" s="30">
        <v>7.1999999999999995E-2</v>
      </c>
      <c r="F73" s="30"/>
      <c r="G73" s="30"/>
      <c r="H73" s="30"/>
      <c r="I73" s="30"/>
      <c r="J73" s="251"/>
    </row>
    <row r="74" spans="3:10" x14ac:dyDescent="0.25">
      <c r="C74" s="60"/>
      <c r="D74" s="29"/>
      <c r="E74" s="29"/>
      <c r="F74" s="29"/>
      <c r="G74" s="29"/>
      <c r="H74" s="29"/>
      <c r="I74" s="29"/>
      <c r="J74" s="252"/>
    </row>
    <row r="75" spans="3:10" x14ac:dyDescent="0.25">
      <c r="C75" s="60"/>
      <c r="D75" s="29">
        <v>10</v>
      </c>
      <c r="E75" s="29">
        <v>6.8000000000000005E-2</v>
      </c>
      <c r="F75" s="29">
        <f>AVERAGE(E75:E77)</f>
        <v>6.8333333333333343E-2</v>
      </c>
      <c r="G75" s="29">
        <f>_xlfn.STDEV.S(E75:E77)</f>
        <v>5.7735026918962634E-4</v>
      </c>
      <c r="H75" s="29">
        <f>(F75-0.0062)/0.0007</f>
        <v>88.761904761904788</v>
      </c>
      <c r="I75" s="29">
        <f>((150-H75)/150)*100</f>
        <v>40.825396825396808</v>
      </c>
      <c r="J75" s="252">
        <f>((150-H75)/1)*0.05</f>
        <v>3.0619047619047608</v>
      </c>
    </row>
    <row r="76" spans="3:10" x14ac:dyDescent="0.25">
      <c r="C76" s="60"/>
      <c r="D76" s="29"/>
      <c r="E76" s="29">
        <v>6.8000000000000005E-2</v>
      </c>
      <c r="F76" s="29"/>
      <c r="G76" s="29"/>
      <c r="H76" s="29"/>
      <c r="I76" s="29"/>
      <c r="J76" s="252"/>
    </row>
    <row r="77" spans="3:10" x14ac:dyDescent="0.25">
      <c r="C77" s="60"/>
      <c r="D77" s="30"/>
      <c r="E77" s="30">
        <v>6.9000000000000006E-2</v>
      </c>
      <c r="F77" s="30"/>
      <c r="G77" s="30"/>
      <c r="H77" s="30"/>
      <c r="I77" s="30"/>
      <c r="J77" s="251"/>
    </row>
    <row r="78" spans="3:10" x14ac:dyDescent="0.25">
      <c r="C78" s="60"/>
      <c r="D78" s="29"/>
      <c r="E78" s="29"/>
      <c r="F78" s="29"/>
      <c r="G78" s="29"/>
      <c r="H78" s="29"/>
      <c r="I78" s="29"/>
      <c r="J78" s="252"/>
    </row>
    <row r="79" spans="3:10" x14ac:dyDescent="0.25">
      <c r="C79" s="60"/>
      <c r="D79" s="29">
        <v>15</v>
      </c>
      <c r="E79" s="29">
        <v>6.3E-2</v>
      </c>
      <c r="F79" s="29">
        <f>AVERAGE(E79:E81)</f>
        <v>6.3333333333333339E-2</v>
      </c>
      <c r="G79" s="29">
        <f>_xlfn.STDEV.S(E79:E81)</f>
        <v>5.7735026918962634E-4</v>
      </c>
      <c r="H79" s="29">
        <f>(F79-0.0062)/0.0007</f>
        <v>81.619047619047635</v>
      </c>
      <c r="I79" s="29">
        <f>((150-H79)/150)*100</f>
        <v>45.587301587301575</v>
      </c>
      <c r="J79" s="252">
        <f>((150-H79)/1)*0.05</f>
        <v>3.4190476190476184</v>
      </c>
    </row>
    <row r="80" spans="3:10" x14ac:dyDescent="0.25">
      <c r="C80" s="60"/>
      <c r="D80" s="29"/>
      <c r="E80" s="29">
        <v>6.3E-2</v>
      </c>
      <c r="F80" s="29"/>
      <c r="G80" s="29"/>
      <c r="H80" s="29"/>
      <c r="I80" s="29"/>
      <c r="J80" s="252"/>
    </row>
    <row r="81" spans="2:21" x14ac:dyDescent="0.25">
      <c r="C81" s="60"/>
      <c r="D81" s="30"/>
      <c r="E81" s="30">
        <v>6.4000000000000001E-2</v>
      </c>
      <c r="F81" s="30"/>
      <c r="G81" s="30"/>
      <c r="H81" s="30"/>
      <c r="I81" s="30"/>
      <c r="J81" s="251"/>
    </row>
    <row r="82" spans="2:21" x14ac:dyDescent="0.25">
      <c r="C82" s="60"/>
      <c r="D82" s="29"/>
      <c r="E82" s="29"/>
      <c r="F82" s="29"/>
      <c r="G82" s="29"/>
      <c r="H82" s="29"/>
      <c r="I82" s="29"/>
      <c r="J82" s="252"/>
    </row>
    <row r="83" spans="2:21" x14ac:dyDescent="0.25">
      <c r="C83" s="60"/>
      <c r="D83" s="29">
        <v>20</v>
      </c>
      <c r="E83" s="29">
        <v>0.06</v>
      </c>
      <c r="F83" s="29">
        <f>AVERAGE(E83:E85)</f>
        <v>5.9666666666666666E-2</v>
      </c>
      <c r="G83" s="29">
        <f>_xlfn.STDEV.S(E83:E85)</f>
        <v>5.7735026918962634E-4</v>
      </c>
      <c r="H83" s="29">
        <f>(F83-0.0062)/0.0007</f>
        <v>76.38095238095238</v>
      </c>
      <c r="I83" s="29">
        <f>((150-H83)/150)*100</f>
        <v>49.079365079365076</v>
      </c>
      <c r="J83" s="252">
        <f>((150-H83)/1)*0.05</f>
        <v>3.6809523809523812</v>
      </c>
    </row>
    <row r="84" spans="2:21" x14ac:dyDescent="0.25">
      <c r="C84" s="60"/>
      <c r="D84" s="29"/>
      <c r="E84" s="29">
        <v>0.06</v>
      </c>
      <c r="F84" s="29"/>
      <c r="G84" s="29"/>
      <c r="H84" s="29"/>
      <c r="I84" s="29"/>
      <c r="J84" s="252"/>
    </row>
    <row r="85" spans="2:21" x14ac:dyDescent="0.25">
      <c r="B85" s="233"/>
      <c r="C85" s="60"/>
      <c r="D85" s="30"/>
      <c r="E85" s="30">
        <v>5.8999999999999997E-2</v>
      </c>
      <c r="F85" s="30"/>
      <c r="G85" s="30"/>
      <c r="H85" s="30"/>
      <c r="I85" s="30"/>
      <c r="J85" s="251"/>
      <c r="K85" s="233"/>
      <c r="L85" s="233"/>
      <c r="M85" s="228"/>
      <c r="N85" s="228"/>
      <c r="O85" s="228"/>
      <c r="P85" s="228"/>
      <c r="Q85" s="228"/>
      <c r="R85" s="228"/>
      <c r="S85" s="256"/>
      <c r="T85" s="233"/>
      <c r="U85" s="233"/>
    </row>
    <row r="86" spans="2:21" x14ac:dyDescent="0.25">
      <c r="B86" s="233"/>
      <c r="C86" s="60"/>
      <c r="D86" s="29"/>
      <c r="E86" s="29"/>
      <c r="F86" s="29"/>
      <c r="G86" s="29"/>
      <c r="H86" s="29"/>
      <c r="I86" s="29"/>
      <c r="J86" s="252"/>
      <c r="K86" s="233"/>
      <c r="L86" s="321"/>
      <c r="M86" s="228"/>
      <c r="N86" s="228"/>
      <c r="O86" s="228"/>
      <c r="P86" s="228"/>
      <c r="Q86" s="228"/>
      <c r="R86" s="228"/>
      <c r="S86" s="228"/>
      <c r="T86" s="233"/>
      <c r="U86" s="233"/>
    </row>
    <row r="87" spans="2:21" x14ac:dyDescent="0.25">
      <c r="B87" s="233"/>
      <c r="C87" s="60"/>
      <c r="D87" s="29">
        <v>40</v>
      </c>
      <c r="E87" s="29">
        <v>5.6000000000000001E-2</v>
      </c>
      <c r="F87" s="29">
        <f>AVERAGE(E87:E89)</f>
        <v>5.6000000000000001E-2</v>
      </c>
      <c r="G87" s="29">
        <f>_xlfn.STDEV.S(E87:E89)</f>
        <v>0</v>
      </c>
      <c r="H87" s="29">
        <f>(F87-0.0062)/0.0007</f>
        <v>71.142857142857153</v>
      </c>
      <c r="I87" s="29">
        <f>((150-H87)/150)*100</f>
        <v>52.571428571428569</v>
      </c>
      <c r="J87" s="252">
        <f>((150-H87)/1)*0.05</f>
        <v>3.9428571428571426</v>
      </c>
      <c r="K87" s="233"/>
      <c r="L87" s="233"/>
      <c r="M87" s="228"/>
      <c r="N87" s="228"/>
      <c r="O87" s="228"/>
      <c r="P87" s="228"/>
      <c r="Q87" s="228"/>
      <c r="R87" s="228"/>
      <c r="S87" s="228"/>
      <c r="T87" s="233"/>
      <c r="U87" s="233"/>
    </row>
    <row r="88" spans="2:21" x14ac:dyDescent="0.25">
      <c r="B88" s="233"/>
      <c r="C88" s="60"/>
      <c r="D88" s="29"/>
      <c r="E88" s="29">
        <v>5.6000000000000001E-2</v>
      </c>
      <c r="F88" s="29"/>
      <c r="G88" s="29"/>
      <c r="H88" s="29"/>
      <c r="I88" s="29"/>
      <c r="J88" s="252"/>
      <c r="K88" s="233"/>
      <c r="L88" s="233"/>
      <c r="M88" s="228"/>
      <c r="N88" s="228"/>
      <c r="O88" s="228"/>
      <c r="P88" s="228"/>
      <c r="Q88" s="228"/>
      <c r="R88" s="228"/>
      <c r="S88" s="228"/>
      <c r="T88" s="233"/>
      <c r="U88" s="233"/>
    </row>
    <row r="89" spans="2:21" x14ac:dyDescent="0.25">
      <c r="B89" s="233"/>
      <c r="C89" s="61"/>
      <c r="D89" s="30"/>
      <c r="E89" s="30">
        <v>5.6000000000000001E-2</v>
      </c>
      <c r="F89" s="30"/>
      <c r="G89" s="30"/>
      <c r="H89" s="30"/>
      <c r="I89" s="30"/>
      <c r="J89" s="251"/>
      <c r="K89" s="233"/>
      <c r="L89" s="233"/>
      <c r="M89" s="228"/>
      <c r="N89" s="228"/>
      <c r="O89" s="228"/>
      <c r="P89" s="228"/>
      <c r="Q89" s="228"/>
      <c r="R89" s="228"/>
      <c r="S89" s="228"/>
      <c r="T89" s="233"/>
      <c r="U89" s="233"/>
    </row>
    <row r="90" spans="2:21" x14ac:dyDescent="0.25">
      <c r="B90" s="233"/>
      <c r="C90" s="233"/>
      <c r="D90" s="228"/>
      <c r="E90" s="228"/>
      <c r="F90" s="228"/>
      <c r="G90" s="228"/>
      <c r="H90" s="228"/>
      <c r="I90" s="228"/>
      <c r="J90" s="228"/>
      <c r="K90" s="233"/>
      <c r="L90" s="233"/>
      <c r="M90" s="228"/>
      <c r="N90" s="228"/>
      <c r="O90" s="228"/>
      <c r="P90" s="228"/>
      <c r="Q90" s="228"/>
      <c r="R90" s="228"/>
      <c r="S90" s="228"/>
      <c r="T90" s="233"/>
      <c r="U90" s="233"/>
    </row>
    <row r="91" spans="2:21" x14ac:dyDescent="0.25">
      <c r="C91" s="233"/>
      <c r="D91" s="228"/>
      <c r="E91" s="228"/>
      <c r="F91" s="228"/>
      <c r="G91" s="228"/>
      <c r="H91" s="228"/>
      <c r="I91" s="228"/>
      <c r="J91" s="228"/>
      <c r="K91" s="233"/>
      <c r="L91" s="233"/>
      <c r="M91" s="228"/>
      <c r="N91" s="228"/>
      <c r="O91" s="228"/>
      <c r="P91" s="228"/>
      <c r="Q91" s="228"/>
      <c r="R91" s="228"/>
      <c r="S91" s="228"/>
    </row>
    <row r="92" spans="2:21" ht="18" x14ac:dyDescent="0.35">
      <c r="C92" s="59" t="s">
        <v>29</v>
      </c>
      <c r="D92" s="258" t="s">
        <v>75</v>
      </c>
      <c r="E92" s="258" t="s">
        <v>30</v>
      </c>
      <c r="F92" s="258" t="s">
        <v>32</v>
      </c>
      <c r="G92" s="258" t="s">
        <v>31</v>
      </c>
      <c r="H92" s="258" t="s">
        <v>43</v>
      </c>
      <c r="I92" s="258" t="s">
        <v>34</v>
      </c>
      <c r="J92" s="255" t="s">
        <v>77</v>
      </c>
      <c r="K92" s="233"/>
      <c r="L92" s="233"/>
      <c r="M92" s="228"/>
      <c r="N92" s="228"/>
      <c r="O92" s="228"/>
      <c r="P92" s="228"/>
      <c r="Q92" s="228"/>
      <c r="R92" s="228"/>
      <c r="S92" s="228"/>
    </row>
    <row r="93" spans="2:21" x14ac:dyDescent="0.25">
      <c r="C93" s="60" t="s">
        <v>35</v>
      </c>
      <c r="D93" s="29">
        <v>5</v>
      </c>
      <c r="E93" s="29">
        <v>6.5000000000000002E-2</v>
      </c>
      <c r="F93" s="29">
        <f>AVERAGE(E93:E95)</f>
        <v>6.5666666666666665E-2</v>
      </c>
      <c r="G93" s="29">
        <f>_xlfn.STDEV.S(E93:E95)</f>
        <v>5.7735026918962634E-4</v>
      </c>
      <c r="H93" s="29">
        <f>(F93-0.0062)/0.0007</f>
        <v>84.952380952380949</v>
      </c>
      <c r="I93" s="29">
        <f>((150-H93)/150)*100</f>
        <v>43.365079365079367</v>
      </c>
      <c r="J93" s="252">
        <f>((150-H93)/1)*0.05</f>
        <v>3.2523809523809528</v>
      </c>
    </row>
    <row r="94" spans="2:21" x14ac:dyDescent="0.25">
      <c r="C94" s="60" t="s">
        <v>123</v>
      </c>
      <c r="D94" s="29"/>
      <c r="E94" s="29">
        <v>6.6000000000000003E-2</v>
      </c>
      <c r="F94" s="29"/>
      <c r="G94" s="29"/>
      <c r="H94" s="29"/>
      <c r="I94" s="29"/>
      <c r="J94" s="252"/>
    </row>
    <row r="95" spans="2:21" x14ac:dyDescent="0.25">
      <c r="B95" s="184"/>
      <c r="C95" s="246"/>
      <c r="D95" s="30"/>
      <c r="E95" s="30">
        <v>6.6000000000000003E-2</v>
      </c>
      <c r="F95" s="30"/>
      <c r="G95" s="30"/>
      <c r="H95" s="30"/>
      <c r="I95" s="30"/>
      <c r="J95" s="251"/>
    </row>
    <row r="96" spans="2:21" ht="18" x14ac:dyDescent="0.35">
      <c r="B96" s="245"/>
      <c r="C96" s="246"/>
      <c r="D96" s="29"/>
      <c r="E96" s="29"/>
      <c r="F96" s="29"/>
      <c r="G96" s="29"/>
      <c r="H96" s="29"/>
      <c r="I96" s="29"/>
      <c r="J96" s="252"/>
      <c r="M96" s="249" t="s">
        <v>29</v>
      </c>
      <c r="N96" s="271" t="s">
        <v>81</v>
      </c>
      <c r="O96" s="287"/>
      <c r="P96" s="287"/>
      <c r="Q96" s="287"/>
      <c r="R96" s="272"/>
    </row>
    <row r="97" spans="1:18" x14ac:dyDescent="0.25">
      <c r="A97" s="233"/>
      <c r="B97" s="245"/>
      <c r="C97" s="246"/>
      <c r="D97" s="29">
        <v>10</v>
      </c>
      <c r="E97" s="29">
        <v>6.0999999999999999E-2</v>
      </c>
      <c r="F97" s="29">
        <f>AVERAGE(E97:E99)</f>
        <v>6.133333333333333E-2</v>
      </c>
      <c r="G97" s="29">
        <f>_xlfn.STDEV.S(E97:E99)</f>
        <v>5.7735026918962634E-4</v>
      </c>
      <c r="H97" s="29">
        <f>(F97-0.0062)/0.0007</f>
        <v>78.761904761904759</v>
      </c>
      <c r="I97" s="29">
        <f>((150-H97)/150)*100</f>
        <v>47.492063492063494</v>
      </c>
      <c r="J97" s="252">
        <f>((150-H97)/1)*0.05</f>
        <v>3.5619047619047621</v>
      </c>
      <c r="M97" s="147" t="s">
        <v>122</v>
      </c>
      <c r="N97" s="248">
        <v>30</v>
      </c>
      <c r="O97" s="248">
        <v>40</v>
      </c>
      <c r="P97" s="248">
        <v>45</v>
      </c>
      <c r="Q97" s="248">
        <v>50</v>
      </c>
      <c r="R97" s="248">
        <v>55</v>
      </c>
    </row>
    <row r="98" spans="1:18" x14ac:dyDescent="0.25">
      <c r="A98" s="228"/>
      <c r="B98" s="245"/>
      <c r="C98" s="246"/>
      <c r="D98" s="29"/>
      <c r="E98" s="29">
        <v>6.0999999999999999E-2</v>
      </c>
      <c r="F98" s="29"/>
      <c r="G98" s="29"/>
      <c r="H98" s="29"/>
      <c r="I98" s="29"/>
      <c r="J98" s="252"/>
      <c r="M98" s="93">
        <v>5</v>
      </c>
      <c r="N98" s="236">
        <f>D5/J5</f>
        <v>2.9745042492917859</v>
      </c>
      <c r="O98" s="236">
        <f>D27/J27</f>
        <v>2.3702031602708802</v>
      </c>
      <c r="P98" s="236">
        <f>D49/J49</f>
        <v>1.8485915492957739</v>
      </c>
      <c r="Q98" s="236">
        <f>D71/J71</f>
        <v>1.7706576728499153</v>
      </c>
      <c r="R98" s="247">
        <f>D93/J93</f>
        <v>1.5373352855051243</v>
      </c>
    </row>
    <row r="99" spans="1:18" x14ac:dyDescent="0.25">
      <c r="A99" s="228"/>
      <c r="B99" s="245"/>
      <c r="C99" s="246"/>
      <c r="D99" s="30"/>
      <c r="E99" s="30">
        <v>6.2E-2</v>
      </c>
      <c r="F99" s="30"/>
      <c r="G99" s="30"/>
      <c r="H99" s="30"/>
      <c r="I99" s="30"/>
      <c r="J99" s="251"/>
      <c r="M99" s="93">
        <v>10</v>
      </c>
      <c r="N99" s="236">
        <f>D9/J9</f>
        <v>5.483028720626633</v>
      </c>
      <c r="O99" s="236">
        <f>D31/J31</f>
        <v>4.3032786885245899</v>
      </c>
      <c r="P99" s="236">
        <f>D53/J53</f>
        <v>3.3707865168539324</v>
      </c>
      <c r="Q99" s="236">
        <f>D75/J75</f>
        <v>3.2659409020217742</v>
      </c>
      <c r="R99" s="247">
        <f>D97/J97</f>
        <v>2.8074866310160425</v>
      </c>
    </row>
    <row r="100" spans="1:18" x14ac:dyDescent="0.25">
      <c r="A100" s="228"/>
      <c r="B100" s="245"/>
      <c r="C100" s="246"/>
      <c r="D100" s="29"/>
      <c r="E100" s="29"/>
      <c r="F100" s="29"/>
      <c r="G100" s="29"/>
      <c r="H100" s="29"/>
      <c r="I100" s="29"/>
      <c r="J100" s="252"/>
      <c r="M100" s="93">
        <v>15</v>
      </c>
      <c r="N100" s="236">
        <f>D13/J13</f>
        <v>6.6596194503171233</v>
      </c>
      <c r="O100" s="236">
        <f>D35/J35</f>
        <v>5.5950266429840134</v>
      </c>
      <c r="P100" s="236">
        <f>D57/J57</f>
        <v>4.4807965860597454</v>
      </c>
      <c r="Q100" s="236">
        <f>D79/J79</f>
        <v>4.3871866295264628</v>
      </c>
      <c r="R100" s="247">
        <f>D101/J101</f>
        <v>3.7589498806682582</v>
      </c>
    </row>
    <row r="101" spans="1:18" x14ac:dyDescent="0.25">
      <c r="A101" s="228"/>
      <c r="B101" s="245"/>
      <c r="C101" s="246"/>
      <c r="D101" s="29">
        <v>15</v>
      </c>
      <c r="E101" s="29">
        <v>5.6000000000000001E-2</v>
      </c>
      <c r="F101" s="29">
        <f>AVERAGE(E101:E103)</f>
        <v>5.5333333333333339E-2</v>
      </c>
      <c r="G101" s="29">
        <f>_xlfn.STDEV.S(E101:E103)</f>
        <v>5.7735026918962634E-4</v>
      </c>
      <c r="H101" s="29">
        <f>(F101-0.0062)/0.0007</f>
        <v>70.190476190476204</v>
      </c>
      <c r="I101" s="29">
        <f>((150-H101)/150)*100</f>
        <v>53.206349206349202</v>
      </c>
      <c r="J101" s="252">
        <f>((150-H101)/1)*0.05</f>
        <v>3.9904761904761901</v>
      </c>
      <c r="M101" s="93">
        <v>20</v>
      </c>
      <c r="N101" s="236">
        <f>D17/J17</f>
        <v>8.108108108108107</v>
      </c>
      <c r="O101" s="236">
        <f>D39/J39</f>
        <v>6.965174129353235</v>
      </c>
      <c r="P101" s="236">
        <f>D61/J61</f>
        <v>5.6527590847913869</v>
      </c>
      <c r="Q101" s="236">
        <f>D83/J83</f>
        <v>5.433376455368693</v>
      </c>
      <c r="R101" s="247">
        <f>D105/J105</f>
        <v>4.7032474804031352</v>
      </c>
    </row>
    <row r="102" spans="1:18" x14ac:dyDescent="0.25">
      <c r="A102" s="228"/>
      <c r="B102" s="245"/>
      <c r="C102" s="246"/>
      <c r="D102" s="29"/>
      <c r="E102" s="29">
        <v>5.5E-2</v>
      </c>
      <c r="F102" s="29"/>
      <c r="G102" s="29"/>
      <c r="H102" s="29"/>
      <c r="I102" s="29"/>
      <c r="J102" s="252"/>
      <c r="M102" s="95">
        <v>40</v>
      </c>
      <c r="N102" s="236">
        <f>D21/J21</f>
        <v>13.703099510603591</v>
      </c>
      <c r="O102" s="236">
        <f>D43/J43</f>
        <v>12.298682284040995</v>
      </c>
      <c r="P102" s="236">
        <f>D65/J65</f>
        <v>10.268948655256724</v>
      </c>
      <c r="Q102" s="236">
        <f>D87/J87</f>
        <v>10.144927536231885</v>
      </c>
      <c r="R102" s="247">
        <f>D109/J109</f>
        <v>9.0032154340836019</v>
      </c>
    </row>
    <row r="103" spans="1:18" x14ac:dyDescent="0.25">
      <c r="A103" s="228"/>
      <c r="B103" s="245"/>
      <c r="C103" s="246"/>
      <c r="D103" s="30"/>
      <c r="E103" s="30">
        <v>5.5E-2</v>
      </c>
      <c r="F103" s="30"/>
      <c r="G103" s="30"/>
      <c r="H103" s="30"/>
      <c r="I103" s="30"/>
      <c r="J103" s="251"/>
      <c r="M103" s="228"/>
      <c r="N103" s="228"/>
      <c r="O103" s="228"/>
      <c r="P103" s="228"/>
      <c r="Q103" s="228"/>
    </row>
    <row r="104" spans="1:18" x14ac:dyDescent="0.25">
      <c r="A104" s="228"/>
      <c r="B104" s="245"/>
      <c r="C104" s="246"/>
      <c r="D104" s="29"/>
      <c r="E104" s="29"/>
      <c r="F104" s="29"/>
      <c r="G104" s="29"/>
      <c r="H104" s="29"/>
      <c r="I104" s="29"/>
      <c r="J104" s="252"/>
      <c r="M104" s="228"/>
      <c r="N104" s="228"/>
      <c r="O104" s="228"/>
      <c r="P104" s="228"/>
      <c r="Q104" s="228"/>
    </row>
    <row r="105" spans="1:18" x14ac:dyDescent="0.25">
      <c r="A105" s="228"/>
      <c r="B105" s="245"/>
      <c r="C105" s="246"/>
      <c r="D105" s="29">
        <v>20</v>
      </c>
      <c r="E105" s="29">
        <v>5.1999999999999998E-2</v>
      </c>
      <c r="F105" s="29">
        <f>AVERAGE(E105:E107)</f>
        <v>5.1666666666666666E-2</v>
      </c>
      <c r="G105" s="29">
        <f>_xlfn.STDEV.S(E105:E107)</f>
        <v>5.7735026918962634E-4</v>
      </c>
      <c r="H105" s="29">
        <f>(F105-0.0062)/0.0007</f>
        <v>64.952380952380963</v>
      </c>
      <c r="I105" s="29">
        <f>((150-H105)/150)*100</f>
        <v>56.698412698412696</v>
      </c>
      <c r="J105" s="252">
        <f>((150-H105)/1)*0.05</f>
        <v>4.2523809523809524</v>
      </c>
    </row>
    <row r="106" spans="1:18" x14ac:dyDescent="0.25">
      <c r="A106" s="228"/>
      <c r="B106" s="245"/>
      <c r="C106" s="246"/>
      <c r="D106" s="29"/>
      <c r="E106" s="29">
        <v>5.1999999999999998E-2</v>
      </c>
      <c r="F106" s="29"/>
      <c r="G106" s="29"/>
      <c r="H106" s="29"/>
      <c r="I106" s="29"/>
      <c r="J106" s="252"/>
    </row>
    <row r="107" spans="1:18" x14ac:dyDescent="0.25">
      <c r="A107" s="228"/>
      <c r="B107" s="245"/>
      <c r="C107" s="246"/>
      <c r="D107" s="30"/>
      <c r="E107" s="30">
        <v>5.0999999999999997E-2</v>
      </c>
      <c r="F107" s="30"/>
      <c r="G107" s="30"/>
      <c r="H107" s="30"/>
      <c r="I107" s="30"/>
      <c r="J107" s="251"/>
    </row>
    <row r="108" spans="1:18" x14ac:dyDescent="0.25">
      <c r="A108" s="228"/>
      <c r="B108" s="245"/>
      <c r="C108" s="246"/>
      <c r="D108" s="29"/>
      <c r="E108" s="29"/>
      <c r="F108" s="29"/>
      <c r="G108" s="29"/>
      <c r="H108" s="29"/>
      <c r="I108" s="29"/>
      <c r="J108" s="252"/>
    </row>
    <row r="109" spans="1:18" x14ac:dyDescent="0.25">
      <c r="A109" s="228"/>
      <c r="B109" s="245"/>
      <c r="C109" s="246"/>
      <c r="D109" s="29">
        <v>40</v>
      </c>
      <c r="E109" s="29">
        <v>4.8000000000000001E-2</v>
      </c>
      <c r="F109" s="29">
        <f>AVERAGE(E109:E111)</f>
        <v>4.9000000000000009E-2</v>
      </c>
      <c r="G109" s="29">
        <f>_xlfn.STDEV.S(E109:E111)</f>
        <v>1.0000000000000009E-3</v>
      </c>
      <c r="H109" s="29">
        <f>(F109-0.0062)/0.0007</f>
        <v>61.14285714285716</v>
      </c>
      <c r="I109" s="29">
        <f>((150-H109)/150)*100</f>
        <v>59.238095238095227</v>
      </c>
      <c r="J109" s="252">
        <f>((150-H109)/1)*0.05</f>
        <v>4.4428571428571422</v>
      </c>
    </row>
    <row r="110" spans="1:18" x14ac:dyDescent="0.25">
      <c r="A110" s="228"/>
      <c r="B110" s="245"/>
      <c r="C110" s="60"/>
      <c r="D110" s="29"/>
      <c r="E110" s="29">
        <v>0.05</v>
      </c>
      <c r="F110" s="29"/>
      <c r="G110" s="29"/>
      <c r="H110" s="29"/>
      <c r="I110" s="29"/>
      <c r="J110" s="252"/>
    </row>
    <row r="111" spans="1:18" x14ac:dyDescent="0.25">
      <c r="A111" s="228"/>
      <c r="B111" s="245"/>
      <c r="C111" s="61"/>
      <c r="D111" s="30"/>
      <c r="E111" s="30">
        <v>4.9000000000000002E-2</v>
      </c>
      <c r="F111" s="30"/>
      <c r="G111" s="30"/>
      <c r="H111" s="30"/>
      <c r="I111" s="30"/>
      <c r="J111" s="251"/>
    </row>
    <row r="112" spans="1:18" x14ac:dyDescent="0.25">
      <c r="A112" s="228"/>
      <c r="B112" s="228"/>
      <c r="C112" s="322"/>
    </row>
    <row r="113" spans="1:20" x14ac:dyDescent="0.25">
      <c r="A113" s="228"/>
      <c r="B113" s="228"/>
      <c r="C113" s="322"/>
    </row>
    <row r="114" spans="1:20" x14ac:dyDescent="0.25">
      <c r="A114" s="228"/>
      <c r="B114" s="228"/>
      <c r="C114" s="322"/>
    </row>
    <row r="115" spans="1:20" x14ac:dyDescent="0.25">
      <c r="A115" s="228"/>
      <c r="B115" s="228"/>
      <c r="C115" s="233"/>
      <c r="D115" s="228"/>
      <c r="E115" s="228"/>
      <c r="F115" s="228"/>
      <c r="G115" s="228"/>
      <c r="H115" s="228"/>
      <c r="I115" s="228"/>
      <c r="J115" s="256"/>
      <c r="K115" s="233"/>
    </row>
    <row r="116" spans="1:20" x14ac:dyDescent="0.25">
      <c r="A116" s="228"/>
      <c r="B116" s="228"/>
      <c r="C116" s="321"/>
      <c r="D116" s="228"/>
      <c r="E116" s="228"/>
      <c r="F116" s="228"/>
      <c r="G116" s="228"/>
      <c r="H116" s="228"/>
      <c r="I116" s="228"/>
      <c r="J116" s="228"/>
      <c r="K116" s="233"/>
    </row>
    <row r="117" spans="1:20" x14ac:dyDescent="0.25">
      <c r="A117" s="228"/>
      <c r="B117" s="228"/>
      <c r="C117" s="233"/>
      <c r="D117" s="228"/>
      <c r="E117" s="228"/>
      <c r="F117" s="228"/>
      <c r="G117" s="228"/>
      <c r="H117" s="228"/>
      <c r="I117" s="228"/>
      <c r="J117" s="228"/>
      <c r="K117" s="233"/>
    </row>
    <row r="118" spans="1:20" x14ac:dyDescent="0.25">
      <c r="A118" s="228"/>
      <c r="B118" s="228"/>
      <c r="C118" s="233"/>
      <c r="D118" s="228"/>
      <c r="E118" s="228"/>
      <c r="F118" s="228"/>
      <c r="G118" s="228"/>
      <c r="H118" s="228"/>
      <c r="I118" s="228"/>
      <c r="J118" s="228"/>
      <c r="K118" s="233"/>
    </row>
    <row r="119" spans="1:20" x14ac:dyDescent="0.25">
      <c r="A119" s="228"/>
      <c r="B119" s="233"/>
      <c r="C119" s="233"/>
      <c r="D119" s="228"/>
      <c r="E119" s="228"/>
      <c r="F119" s="228"/>
      <c r="G119" s="228"/>
      <c r="H119" s="228"/>
      <c r="I119" s="228"/>
      <c r="J119" s="228"/>
      <c r="K119" s="233"/>
    </row>
    <row r="120" spans="1:20" x14ac:dyDescent="0.25">
      <c r="A120" s="228"/>
      <c r="B120" s="233"/>
      <c r="C120" s="233"/>
      <c r="D120" s="228"/>
      <c r="E120" s="228"/>
      <c r="F120" s="228"/>
      <c r="G120" s="228"/>
      <c r="H120" s="228"/>
      <c r="I120" s="228"/>
      <c r="J120" s="228"/>
    </row>
    <row r="121" spans="1:20" x14ac:dyDescent="0.25">
      <c r="A121" s="233"/>
      <c r="C121" s="233"/>
      <c r="D121" s="228"/>
      <c r="E121" s="228"/>
      <c r="F121" s="228"/>
      <c r="G121" s="228"/>
      <c r="H121" s="228"/>
      <c r="I121" s="228"/>
      <c r="J121" s="228"/>
    </row>
    <row r="122" spans="1:20" x14ac:dyDescent="0.25">
      <c r="C122" s="233"/>
      <c r="D122" s="228"/>
      <c r="E122" s="228"/>
      <c r="F122" s="228"/>
      <c r="G122" s="228"/>
      <c r="H122" s="228"/>
      <c r="I122" s="228"/>
      <c r="J122" s="228"/>
      <c r="O122" s="243"/>
    </row>
    <row r="126" spans="1:20" x14ac:dyDescent="0.25">
      <c r="O126" s="243" t="s">
        <v>137</v>
      </c>
    </row>
    <row r="127" spans="1:20" ht="18.75" x14ac:dyDescent="0.35">
      <c r="L127" s="257" t="s">
        <v>121</v>
      </c>
      <c r="M127" s="253" t="s">
        <v>92</v>
      </c>
      <c r="N127" s="253" t="s">
        <v>44</v>
      </c>
      <c r="O127" s="253" t="s">
        <v>136</v>
      </c>
      <c r="P127" s="253" t="s">
        <v>135</v>
      </c>
      <c r="Q127" s="253" t="s">
        <v>91</v>
      </c>
      <c r="R127" s="253" t="s">
        <v>53</v>
      </c>
      <c r="S127" s="253" t="s">
        <v>58</v>
      </c>
      <c r="T127" s="254" t="s">
        <v>120</v>
      </c>
    </row>
    <row r="128" spans="1:20" x14ac:dyDescent="0.25">
      <c r="L128" s="36">
        <v>30</v>
      </c>
      <c r="M128" s="37">
        <v>0.29480000000000001</v>
      </c>
      <c r="N128" s="37">
        <f>1/M128</f>
        <v>3.3921302578018997</v>
      </c>
      <c r="O128" s="37">
        <v>2.08</v>
      </c>
      <c r="P128" s="37">
        <f>1/(O128*N128*N128)</f>
        <v>4.1782230769230759E-2</v>
      </c>
      <c r="Q128" s="37">
        <v>0.99039999999999995</v>
      </c>
      <c r="R128" s="320">
        <f>273+L128</f>
        <v>303</v>
      </c>
      <c r="S128" s="37">
        <f>1/R128</f>
        <v>3.3003300330033004E-3</v>
      </c>
      <c r="T128" s="38">
        <f>LN(P128)</f>
        <v>-3.175284131047138</v>
      </c>
    </row>
    <row r="129" spans="12:20" x14ac:dyDescent="0.25">
      <c r="L129" s="36">
        <v>40</v>
      </c>
      <c r="M129" s="37">
        <v>0.27739999999999998</v>
      </c>
      <c r="N129" s="37">
        <f>1/M129</f>
        <v>3.6049026676279743</v>
      </c>
      <c r="O129" s="37">
        <v>1.3139000000000001</v>
      </c>
      <c r="P129" s="37">
        <f>1/(O129*N129*N129)</f>
        <v>5.8566679351548814E-2</v>
      </c>
      <c r="Q129" s="37">
        <v>0.99660000000000004</v>
      </c>
      <c r="R129" s="320">
        <f>273+L129</f>
        <v>313</v>
      </c>
      <c r="S129" s="37">
        <f>1/R129</f>
        <v>3.1948881789137379E-3</v>
      </c>
      <c r="T129" s="38">
        <f>LN(P129)</f>
        <v>-2.8375893558684511</v>
      </c>
    </row>
    <row r="130" spans="12:20" x14ac:dyDescent="0.25">
      <c r="L130" s="36">
        <v>45</v>
      </c>
      <c r="M130" s="37">
        <v>0.23669999999999999</v>
      </c>
      <c r="N130" s="37">
        <f>1/M130</f>
        <v>4.2247570764681033</v>
      </c>
      <c r="O130" s="37">
        <v>0.86399999999999999</v>
      </c>
      <c r="P130" s="37">
        <f>1/(O130*N130*N130)</f>
        <v>6.4845937499999992E-2</v>
      </c>
      <c r="Q130" s="37">
        <v>0.99829999999999997</v>
      </c>
      <c r="R130" s="320">
        <f>273+L130</f>
        <v>318</v>
      </c>
      <c r="S130" s="37">
        <f>1/R130</f>
        <v>3.1446540880503146E-3</v>
      </c>
      <c r="T130" s="38">
        <f>LN(P130)</f>
        <v>-2.7357410147463161</v>
      </c>
    </row>
    <row r="131" spans="12:20" x14ac:dyDescent="0.25">
      <c r="L131" s="36">
        <v>50</v>
      </c>
      <c r="M131" s="37">
        <v>0.23530000000000001</v>
      </c>
      <c r="N131" s="37">
        <f>1/M131</f>
        <v>4.2498937526561837</v>
      </c>
      <c r="O131" s="37">
        <v>0.76549999999999996</v>
      </c>
      <c r="P131" s="37">
        <f>1/(O131*N131*N131)</f>
        <v>7.2326701502286081E-2</v>
      </c>
      <c r="Q131" s="37">
        <v>0.99850000000000005</v>
      </c>
      <c r="R131" s="320">
        <f>273+L131</f>
        <v>323</v>
      </c>
      <c r="S131" s="37">
        <f>1/R131</f>
        <v>3.0959752321981426E-3</v>
      </c>
      <c r="T131" s="38">
        <f>LN(P131)</f>
        <v>-2.6265619026132421</v>
      </c>
    </row>
    <row r="132" spans="12:20" x14ac:dyDescent="0.25">
      <c r="L132" s="39">
        <v>55</v>
      </c>
      <c r="M132" s="40">
        <v>0.21060000000000001</v>
      </c>
      <c r="N132" s="40">
        <f>1/M132</f>
        <v>4.7483380816714149</v>
      </c>
      <c r="O132" s="40">
        <v>0.57079999999999997</v>
      </c>
      <c r="P132" s="40">
        <f>1/(O132*N132*N132)</f>
        <v>7.7702102312543792E-2</v>
      </c>
      <c r="Q132" s="40">
        <v>0.999</v>
      </c>
      <c r="R132" s="319">
        <f>273+L132</f>
        <v>328</v>
      </c>
      <c r="S132" s="40">
        <f>1/R132</f>
        <v>3.0487804878048782E-3</v>
      </c>
      <c r="T132" s="41">
        <f>LN(P132)</f>
        <v>-2.5548729651850683</v>
      </c>
    </row>
    <row r="135" spans="12:20" x14ac:dyDescent="0.25">
      <c r="O135" s="250" t="s">
        <v>134</v>
      </c>
    </row>
    <row r="152" spans="14:16" x14ac:dyDescent="0.25">
      <c r="N152" t="s">
        <v>133</v>
      </c>
      <c r="O152">
        <v>-2478.6</v>
      </c>
      <c r="P152" s="318" t="s">
        <v>132</v>
      </c>
    </row>
    <row r="153" spans="14:16" x14ac:dyDescent="0.25">
      <c r="N153" t="s">
        <v>131</v>
      </c>
      <c r="O153">
        <v>5.0388000000000002</v>
      </c>
      <c r="P153" s="318" t="s">
        <v>130</v>
      </c>
    </row>
    <row r="154" spans="14:16" x14ac:dyDescent="0.25">
      <c r="N154" t="s">
        <v>129</v>
      </c>
      <c r="O154">
        <v>8.3140000000000001</v>
      </c>
    </row>
    <row r="157" spans="14:16" ht="18" x14ac:dyDescent="0.35">
      <c r="N157" s="243" t="s">
        <v>119</v>
      </c>
      <c r="O157" s="244">
        <f>2478.6*8.314</f>
        <v>20607.080399999999</v>
      </c>
      <c r="P157" s="243" t="s">
        <v>118</v>
      </c>
    </row>
    <row r="158" spans="14:16" x14ac:dyDescent="0.25">
      <c r="N158" s="243"/>
      <c r="O158" s="244">
        <f>O157/1000</f>
        <v>20.607080399999997</v>
      </c>
      <c r="P158" s="243" t="s">
        <v>128</v>
      </c>
    </row>
    <row r="160" spans="14:16" ht="18" x14ac:dyDescent="0.35">
      <c r="N160" s="243" t="s">
        <v>119</v>
      </c>
      <c r="O160" s="317" t="s">
        <v>127</v>
      </c>
    </row>
  </sheetData>
  <mergeCells count="1">
    <mergeCell ref="N96:R9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EoT</vt:lpstr>
      <vt:lpstr>EoD</vt:lpstr>
      <vt:lpstr>EoCT</vt:lpstr>
      <vt:lpstr>Kinetic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RADAH</dc:creator>
  <cp:lastModifiedBy>RADAH</cp:lastModifiedBy>
  <dcterms:created xsi:type="dcterms:W3CDTF">2020-09-10T13:20:53Z</dcterms:created>
  <dcterms:modified xsi:type="dcterms:W3CDTF">2022-11-09T19:54:38Z</dcterms:modified>
</cp:coreProperties>
</file>